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tabRatio="861" activeTab="2"/>
  </bookViews>
  <sheets>
    <sheet name="汇总表" sheetId="8" r:id="rId1"/>
    <sheet name="编制说明" sheetId="9" r:id="rId2"/>
    <sheet name="报价汇总表 (新)" sheetId="6" r:id="rId3"/>
    <sheet name="理论控制量" sheetId="4" state="hidden" r:id="rId4"/>
    <sheet name="报价汇总表" sheetId="1" state="hidden" r:id="rId5"/>
    <sheet name="单价分析表" sheetId="2" state="hidden" r:id="rId6"/>
    <sheet name="建筑装修做法表" sheetId="3" state="hidden" r:id="rId7"/>
    <sheet name="油漆报价汇总表" sheetId="5" state="hidden" r:id="rId8"/>
  </sheets>
  <definedNames>
    <definedName name="_xlnm._FilterDatabase" localSheetId="2" hidden="1">'报价汇总表 (新)'!$A$2:$L$11</definedName>
    <definedName name="_xlnm._FilterDatabase" localSheetId="6" hidden="1">建筑装修做法表!$A$3:$H$51</definedName>
    <definedName name="_xlnm.Print_Area" localSheetId="2">'报价汇总表 (新)'!$A$1:$K$11</definedName>
    <definedName name="_xlnm.Print_Area" localSheetId="0">汇总表!$A$1:$G$5</definedName>
    <definedName name="_xlnm.Print_Area" localSheetId="1">编制说明!$A$1:$A$6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<sst xmlns="http://schemas.openxmlformats.org/spreadsheetml/2006/main" count="452" uniqueCount="262">
  <si>
    <t>市民中心三期地下室地坪漆工程
限价费用汇总表</t>
  </si>
  <si>
    <t>序号</t>
  </si>
  <si>
    <t>费用名称</t>
  </si>
  <si>
    <t>计费基数</t>
  </si>
  <si>
    <t>招标限价
（元）</t>
  </si>
  <si>
    <t>不含税投标报价
（元）</t>
  </si>
  <si>
    <t>含税投标报价
（元）</t>
  </si>
  <si>
    <t>备注</t>
  </si>
  <si>
    <t>地坪漆工程</t>
  </si>
  <si>
    <t>汇总报价</t>
  </si>
  <si>
    <t>小写：</t>
  </si>
  <si>
    <t>大写：</t>
  </si>
  <si>
    <t>编制说明</t>
  </si>
  <si>
    <t>1、招标范围：东莞市民中心三期项目地下室地坪漆工程的全部工程内容及其他为实现合同目的所涉及的承包范围。</t>
  </si>
  <si>
    <t>2、本项目为固定综合单价包干；按图纸范围内包工、包辅材、包小型机械设备（承包人提供的设备除外）、包小型机械设备操作用工、包制安、包调试、包安全、包质量、包材料设备价格变化风险费、包施工用水电设备及相关费用、包保险费用、包税金、包工期、包质量、包安全生产、包现场文明施工、包配合甲方验收合格包风险、包图纸二次深化（优化）设计、包与其他分包单位的配合等。以上价格为开工程专用增值税发票适用。
2、清单工序内容包括基层处理打磨、清洁，地坪漆专用环氧底涂、地坪漆专用环氧砂浆层、地坪漆面涂层，即完成地坪漆规定厚度及所有工序，包含完成所有工程内容所需的一切措施费。</t>
  </si>
  <si>
    <t>3、本项目报价需根据招标文件及技术标准和工序要求等进行综合考虑，中标后不再调整。</t>
  </si>
  <si>
    <t>4、本次招标范围以招标清单项目特征描述和建筑构造做法表和答疑确认部位为准，具体详招标清单。</t>
  </si>
  <si>
    <t>5、本招标限价招标，投标需投标单位自行填报不得超限价。</t>
  </si>
  <si>
    <t>东莞市民中心三期项目地下室地坪漆工程清单</t>
  </si>
  <si>
    <t>清单名称</t>
  </si>
  <si>
    <t>项目特征描述</t>
  </si>
  <si>
    <t>单位</t>
  </si>
  <si>
    <t>暂定工程量</t>
  </si>
  <si>
    <t>不含税单价（①+②+③）</t>
  </si>
  <si>
    <t>其中不含税单价明细</t>
  </si>
  <si>
    <t>不含税合价</t>
  </si>
  <si>
    <t>①材料费(含损耗)</t>
  </si>
  <si>
    <t>②人工费、机械费</t>
  </si>
  <si>
    <t>③其他费、管理费利润</t>
  </si>
  <si>
    <t>B1级环氧树脂楼地面</t>
  </si>
  <si>
    <r>
      <rPr>
        <sz val="10"/>
        <rFont val="宋体"/>
        <charset val="134"/>
      </rPr>
      <t>1.部位:停车位
2.面漆材料种类、厚度:</t>
    </r>
    <r>
      <rPr>
        <b/>
        <sz val="10"/>
        <rFont val="宋体"/>
        <charset val="134"/>
      </rPr>
      <t>环氧树脂地坪涂料微珠超耐磨防滑面层2厚</t>
    </r>
    <r>
      <rPr>
        <sz val="10"/>
        <rFont val="宋体"/>
        <charset val="134"/>
      </rPr>
      <t xml:space="preserve">
3.其他说明：包括为满足技术要求、验收规范规定施工所需的一切工序。</t>
    </r>
  </si>
  <si>
    <t>m2</t>
  </si>
  <si>
    <r>
      <rPr>
        <sz val="10"/>
        <rFont val="宋体"/>
        <charset val="134"/>
      </rPr>
      <t>1.部位:车道
2.面漆材料种类、厚度:</t>
    </r>
    <r>
      <rPr>
        <b/>
        <sz val="10"/>
        <rFont val="宋体"/>
        <charset val="134"/>
      </rPr>
      <t>环氧树脂地坪涂料橘皮超耐磨防滑面层2厚</t>
    </r>
    <r>
      <rPr>
        <sz val="10"/>
        <rFont val="宋体"/>
        <charset val="134"/>
      </rPr>
      <t xml:space="preserve">
3.颜色综合考虑
4.其他说明：包括为满足技术要求、验收规范规定施工所需的一切工序。</t>
    </r>
  </si>
  <si>
    <t>汽车坡道地面</t>
  </si>
  <si>
    <r>
      <rPr>
        <sz val="10"/>
        <rFont val="宋体"/>
        <charset val="134"/>
      </rPr>
      <t>1.部位:汽车坡道
2.面漆材料种类、厚度:</t>
    </r>
    <r>
      <rPr>
        <b/>
        <sz val="10"/>
        <rFont val="宋体"/>
        <charset val="134"/>
      </rPr>
      <t>环氧撒砂防滑耐磨涂料3厚</t>
    </r>
    <r>
      <rPr>
        <sz val="10"/>
        <rFont val="宋体"/>
        <charset val="134"/>
      </rPr>
      <t xml:space="preserve">
3.颜色综合考虑
4.其他说明：包括为满足技术要求、验收规范规定施工所需的一切工序。</t>
    </r>
  </si>
  <si>
    <t>设备房楼地面</t>
  </si>
  <si>
    <r>
      <rPr>
        <sz val="10"/>
        <rFont val="宋体"/>
        <charset val="134"/>
      </rPr>
      <t>1.部位:设备房
2.面漆材料种类、厚度:</t>
    </r>
    <r>
      <rPr>
        <b/>
        <sz val="10"/>
        <rFont val="宋体"/>
        <charset val="134"/>
      </rPr>
      <t>2厚环氧树脂地坪涂料微珠防滑面层，上翻150作为踢脚线</t>
    </r>
    <r>
      <rPr>
        <sz val="10"/>
        <rFont val="宋体"/>
        <charset val="134"/>
      </rPr>
      <t xml:space="preserve">
3.颜色综合考虑
4.其他说明：包括为满足技术要求、验收规范规定施工所需的一切工序。</t>
    </r>
  </si>
  <si>
    <t>不含税合计</t>
  </si>
  <si>
    <t>税率9%</t>
  </si>
  <si>
    <t>合   计</t>
  </si>
  <si>
    <t xml:space="preserve">备注：
1、以上清单中工艺工序内容包括基层处理、地坪漆专用环氧底涂、地坪漆专用环氧砂浆层、地坪漆中涂腻子层、地坪漆专用环氧封闭层及面漆层，即完成地坪漆规定厚度及所有工序，包含完成所有工程内容所需的一切措施费。
2、本工程固定综合单价包干，综合单价中包括施工图所有内容的包工、包料（含损耗及辅材）、包机具、包质量、包备案、包报建、包安全、包文明施工、包施工措施费、包管理、包进度、包利润、包市场风险、包验收合格及合格验收资料、包税金、包保修、送检及包抽芯取样、包图纸等，满足本项目设计参数及项目技术要求，并通过政府验收。
</t>
  </si>
  <si>
    <t>项目编码</t>
  </si>
  <si>
    <t>项目名称</t>
  </si>
  <si>
    <t>计量单位</t>
  </si>
  <si>
    <t>预算工程量（m2）</t>
  </si>
  <si>
    <t>定额工程量（kg/m2）</t>
  </si>
  <si>
    <t>油漆量（kg）</t>
  </si>
  <si>
    <t>金额（元）</t>
  </si>
  <si>
    <t>综合单价</t>
  </si>
  <si>
    <t>综合合价</t>
  </si>
  <si>
    <t>其中</t>
  </si>
  <si>
    <t>暂估价</t>
  </si>
  <si>
    <t>室内墙面涂料工程</t>
  </si>
  <si>
    <t>011406001001</t>
  </si>
  <si>
    <t>抹灰面油漆（涂料甲供）</t>
  </si>
  <si>
    <t>1.做法:内1（地上+地下室）
2.油漆品种、刷漆遍数:无机涂料（燃烧等级A级）</t>
  </si>
  <si>
    <t>011406001002</t>
  </si>
  <si>
    <t>1.做法:内6（地上+地下室）
2.油漆品种、刷漆遍数:乳胶漆面层</t>
  </si>
  <si>
    <t>011406001010</t>
  </si>
  <si>
    <t>抹灰面油漆（独立柱）（涂料甲供）</t>
  </si>
  <si>
    <t>1.做法:内1（地下室）
2.油漆品种、刷漆遍数:无机涂料（燃烧等级A级）</t>
  </si>
  <si>
    <t>011406001008</t>
  </si>
  <si>
    <t>1.做法:踢1（地下室）
2.油漆品种、刷漆遍数:深色无机涂料面层</t>
  </si>
  <si>
    <t>天棚涂料工程</t>
  </si>
  <si>
    <t>011406001003</t>
  </si>
  <si>
    <t xml:space="preserve">1.做法:棚1（地上）
2.油漆品种、刷漆遍数:无机涂料面层
</t>
  </si>
  <si>
    <t>011406001004</t>
  </si>
  <si>
    <t>1.做法:棚1（地下室）
2.油漆品种、刷漆遍数:防霉无机涂料面层</t>
  </si>
  <si>
    <t>011406001005</t>
  </si>
  <si>
    <t>1.做法:棚2（地上）
2.油漆品种、刷漆遍数:表面喷刷涂料</t>
  </si>
  <si>
    <t>011406001006</t>
  </si>
  <si>
    <t>1.做法:棚3（地上+地下室）
2.油漆品种、刷漆遍数:表面喷外墙防水防霉涂料（燃烧性能等级为A级）</t>
  </si>
  <si>
    <t>011406001009</t>
  </si>
  <si>
    <t>1.做法:水池底板及内侧壁（地下室）
2.油漆品种、刷漆遍数:均匀涂刷901瓷釉防霉防腐防菌涂料</t>
  </si>
  <si>
    <t>小计</t>
  </si>
  <si>
    <t>本页小计</t>
  </si>
  <si>
    <t>东莞市市民三期涂料报价表</t>
  </si>
  <si>
    <t>名称</t>
  </si>
  <si>
    <t>面积</t>
  </si>
  <si>
    <t>定额含量</t>
  </si>
  <si>
    <t>项目1涂布率</t>
  </si>
  <si>
    <t>项目2涂布率</t>
  </si>
  <si>
    <t>项目3涂布率</t>
  </si>
  <si>
    <t>型号</t>
  </si>
  <si>
    <t>规格/桶</t>
  </si>
  <si>
    <t>平均价</t>
  </si>
  <si>
    <t>立邦</t>
  </si>
  <si>
    <t>截图</t>
  </si>
  <si>
    <t>多乐士</t>
  </si>
  <si>
    <t>巴德士</t>
  </si>
  <si>
    <t>万科</t>
  </si>
  <si>
    <t>单价</t>
  </si>
  <si>
    <t>涂料工程</t>
  </si>
  <si>
    <t>无机涂料（燃烧等级A级）</t>
  </si>
  <si>
    <t>内墙无机专用封闭底漆</t>
  </si>
  <si>
    <t>内墙无机涂料</t>
  </si>
  <si>
    <t>内墙乳胶漆-底漆</t>
  </si>
  <si>
    <t>内墙抗碱封闭底漆</t>
  </si>
  <si>
    <t>内墙涂料</t>
  </si>
  <si>
    <t>内墙乳胶漆-面漆</t>
  </si>
  <si>
    <t>内墙无机涂料（深色）</t>
  </si>
  <si>
    <t>防霉无机涂料</t>
  </si>
  <si>
    <t>内墙防霉无机封闭底漆</t>
  </si>
  <si>
    <t>内墙防霉无机封闭底涂料</t>
  </si>
  <si>
    <t>防水防霉涂料</t>
  </si>
  <si>
    <t>901瓷釉防霉防腐防菌涂料</t>
  </si>
  <si>
    <t>901瓷釉防霉防腐防菌底漆</t>
  </si>
  <si>
    <t>吊顶天棚面层油漆（涂料甲供）</t>
  </si>
  <si>
    <t>1.做法:吊顶天棚面层油漆
2.油漆品种、刷漆遍数:无机防水涂料底漆一遍</t>
  </si>
  <si>
    <t>无机防水涂料底漆</t>
  </si>
  <si>
    <t>1.做法:吊顶天棚面层油漆
2.油漆品种、刷漆遍数:无机防水涂料面漆两遍</t>
  </si>
  <si>
    <t>无机防水涂料-底漆</t>
  </si>
  <si>
    <t>格栅吊顶内天花油漆（涂料甲供）</t>
  </si>
  <si>
    <t>1.做法:格栅吊顶内天花油漆
2.油漆品种、刷漆遍数:喷无机涂料两遍</t>
  </si>
  <si>
    <t>内墙平涂（白色一底一面）综合单价分析表</t>
  </si>
  <si>
    <t xml:space="preserve">序号 </t>
  </si>
  <si>
    <t>项目</t>
  </si>
  <si>
    <t>工艺</t>
  </si>
  <si>
    <t>材料品牌</t>
  </si>
  <si>
    <t>产品型号</t>
  </si>
  <si>
    <t>包装规格
（KG/桶）</t>
  </si>
  <si>
    <t>干膜厚度</t>
  </si>
  <si>
    <t>施工道数</t>
  </si>
  <si>
    <t>材料单价</t>
  </si>
  <si>
    <t>涂布率</t>
  </si>
  <si>
    <t>平米单价</t>
  </si>
  <si>
    <r>
      <rPr>
        <sz val="10"/>
        <rFont val="宋体"/>
        <charset val="134"/>
      </rPr>
      <t>参考用量</t>
    </r>
    <r>
      <rPr>
        <sz val="10"/>
        <rFont val="Times New Roman"/>
        <charset val="0"/>
      </rPr>
      <t>kg/m</t>
    </r>
    <r>
      <rPr>
        <vertAlign val="superscript"/>
        <sz val="10"/>
        <rFont val="Times New Roman"/>
        <charset val="0"/>
      </rPr>
      <t>2</t>
    </r>
  </si>
  <si>
    <t>（微米）</t>
  </si>
  <si>
    <t>（道）</t>
  </si>
  <si>
    <t>（元/桶）</t>
  </si>
  <si>
    <t>（元/KG）</t>
  </si>
  <si>
    <t>（㎡/KG）</t>
  </si>
  <si>
    <t>（元/平米）</t>
  </si>
  <si>
    <t>材料部分</t>
  </si>
  <si>
    <t>A级无机涂料底漆1道</t>
  </si>
  <si>
    <t>A级无机涂料面漆1道</t>
  </si>
  <si>
    <t>材料单方价</t>
  </si>
  <si>
    <t>施工</t>
  </si>
  <si>
    <t>施工费及租架、搭架、移架等措施费</t>
  </si>
  <si>
    <t>管理费</t>
  </si>
  <si>
    <t>计费基础</t>
  </si>
  <si>
    <r>
      <rPr>
        <sz val="10"/>
        <color indexed="8"/>
        <rFont val="宋体"/>
        <charset val="134"/>
      </rPr>
      <t>（1</t>
    </r>
    <r>
      <rPr>
        <sz val="10"/>
        <color indexed="8"/>
        <rFont val="宋体"/>
        <charset val="134"/>
      </rPr>
      <t>+2）</t>
    </r>
  </si>
  <si>
    <t>×</t>
  </si>
  <si>
    <t>利润</t>
  </si>
  <si>
    <t>税金</t>
  </si>
  <si>
    <r>
      <rPr>
        <sz val="10"/>
        <color indexed="8"/>
        <rFont val="宋体"/>
        <charset val="134"/>
      </rPr>
      <t>（1</t>
    </r>
    <r>
      <rPr>
        <sz val="10"/>
        <color indexed="8"/>
        <rFont val="宋体"/>
        <charset val="134"/>
      </rPr>
      <t>+2+3+4）</t>
    </r>
  </si>
  <si>
    <r>
      <rPr>
        <sz val="10"/>
        <rFont val="宋体"/>
        <charset val="0"/>
      </rPr>
      <t>建</t>
    </r>
    <r>
      <rPr>
        <sz val="10"/>
        <rFont val="Arial"/>
        <charset val="0"/>
      </rPr>
      <t xml:space="preserve">  </t>
    </r>
    <r>
      <rPr>
        <sz val="10"/>
        <rFont val="宋体"/>
        <charset val="0"/>
      </rPr>
      <t>筑</t>
    </r>
    <r>
      <rPr>
        <sz val="10"/>
        <rFont val="Arial"/>
        <charset val="0"/>
      </rPr>
      <t xml:space="preserve">  </t>
    </r>
    <r>
      <rPr>
        <sz val="10"/>
        <rFont val="宋体"/>
        <charset val="0"/>
      </rPr>
      <t>装</t>
    </r>
    <r>
      <rPr>
        <sz val="10"/>
        <rFont val="Arial"/>
        <charset val="0"/>
      </rPr>
      <t xml:space="preserve">  </t>
    </r>
    <r>
      <rPr>
        <sz val="10"/>
        <rFont val="宋体"/>
        <charset val="0"/>
      </rPr>
      <t>修</t>
    </r>
    <r>
      <rPr>
        <sz val="10"/>
        <rFont val="Arial"/>
        <charset val="0"/>
      </rPr>
      <t xml:space="preserve">  </t>
    </r>
    <r>
      <rPr>
        <sz val="10"/>
        <rFont val="宋体"/>
        <charset val="0"/>
      </rPr>
      <t>做</t>
    </r>
    <r>
      <rPr>
        <sz val="10"/>
        <rFont val="Arial"/>
        <charset val="0"/>
      </rPr>
      <t xml:space="preserve">  </t>
    </r>
    <r>
      <rPr>
        <sz val="10"/>
        <rFont val="宋体"/>
        <charset val="0"/>
      </rPr>
      <t>法</t>
    </r>
    <r>
      <rPr>
        <sz val="10"/>
        <rFont val="Arial"/>
        <charset val="0"/>
      </rPr>
      <t xml:space="preserve">  </t>
    </r>
    <r>
      <rPr>
        <sz val="10"/>
        <rFont val="宋体"/>
        <charset val="0"/>
      </rPr>
      <t>表</t>
    </r>
  </si>
  <si>
    <t>位 置</t>
  </si>
  <si>
    <t>房间名称</t>
  </si>
  <si>
    <t>楼/地面</t>
  </si>
  <si>
    <t>内 墙</t>
  </si>
  <si>
    <t>顶 棚</t>
  </si>
  <si>
    <t xml:space="preserve">踢 脚 / 墙 裙 </t>
  </si>
  <si>
    <t>做 法</t>
  </si>
  <si>
    <t>地下室</t>
  </si>
  <si>
    <t>餐饮、零售</t>
  </si>
  <si>
    <t>底板防水2+毛坯楼1:水泥砂浆楼面</t>
  </si>
  <si>
    <t>毛坯墙1:抹灰砂浆墙面</t>
  </si>
  <si>
    <r>
      <rPr>
        <sz val="10"/>
        <rFont val="宋体"/>
        <charset val="0"/>
      </rPr>
      <t>毛坯棚</t>
    </r>
    <r>
      <rPr>
        <sz val="10"/>
        <rFont val="Arial"/>
        <charset val="0"/>
      </rPr>
      <t>1:</t>
    </r>
    <r>
      <rPr>
        <sz val="10"/>
        <rFont val="宋体"/>
        <charset val="0"/>
      </rPr>
      <t>结构顶棚</t>
    </r>
  </si>
  <si>
    <t>踢1:深色涂料踢脚(100高)</t>
  </si>
  <si>
    <t>电梯厅、前室、楼梯间</t>
  </si>
  <si>
    <t>底板防水2+楼3:防滑地砖楼面</t>
  </si>
  <si>
    <t>内1:无机涂料墙面(燃烧等级A级)</t>
  </si>
  <si>
    <t>棚1:无机涂料顶棚(燃烧等级A级)</t>
  </si>
  <si>
    <t>踢2:瓷砖踢脚(100高)</t>
  </si>
  <si>
    <t>楼梯间踏步、平台</t>
  </si>
  <si>
    <t>各类风机房</t>
  </si>
  <si>
    <t>底板防水2+楼1A:细石混凝土楼面(隔声)</t>
  </si>
  <si>
    <t>内5:吸声墙面</t>
  </si>
  <si>
    <t xml:space="preserve">棚5:轻钢龙骨矿棉吸音板吊顶(A级) </t>
  </si>
  <si>
    <t>梁下100安装</t>
  </si>
  <si>
    <t>发电机房</t>
  </si>
  <si>
    <t>底板防水2+楼6:防油渗楼面</t>
  </si>
  <si>
    <t>吊顶高度距地4.0m</t>
  </si>
  <si>
    <t>储油间、烟色处理间</t>
  </si>
  <si>
    <t>生活水泵房</t>
  </si>
  <si>
    <t>底板防水2+楼2:防滑地砖楼面</t>
  </si>
  <si>
    <t>梁下100安装,水箱位置不吊顶</t>
  </si>
  <si>
    <t>设备管井(水井、电井、风井)</t>
  </si>
  <si>
    <t>底板防水2+楼4:水泥砂浆楼面</t>
  </si>
  <si>
    <t>内2:砂浆墙面(设备管井)</t>
  </si>
  <si>
    <t>5G基站机房、网络机房、UPS间、覆盖机房、
泡沫灭火间、电表间</t>
  </si>
  <si>
    <t>底板防水2+楼1:环氧树脂楼面</t>
  </si>
  <si>
    <t>停车库、非机动车库</t>
  </si>
  <si>
    <r>
      <rPr>
        <sz val="10"/>
        <rFont val="宋体"/>
        <charset val="0"/>
      </rPr>
      <t>底板防水</t>
    </r>
    <r>
      <rPr>
        <sz val="10"/>
        <rFont val="Arial"/>
        <charset val="0"/>
      </rPr>
      <t>:A</t>
    </r>
    <r>
      <rPr>
        <sz val="10"/>
        <rFont val="宋体"/>
        <charset val="0"/>
      </rPr>
      <t>级环氧树脂楼面</t>
    </r>
    <r>
      <rPr>
        <sz val="10"/>
        <rFont val="Arial"/>
        <charset val="0"/>
      </rPr>
      <t>(</t>
    </r>
    <r>
      <rPr>
        <sz val="10"/>
        <rFont val="宋体"/>
        <charset val="0"/>
      </rPr>
      <t>车库区</t>
    </r>
    <r>
      <rPr>
        <sz val="10"/>
        <rFont val="Arial"/>
        <charset val="0"/>
      </rPr>
      <t xml:space="preserve">) </t>
    </r>
  </si>
  <si>
    <t>汽车坡道</t>
  </si>
  <si>
    <t>坡道1</t>
  </si>
  <si>
    <t>垃圾存放点、隔油间、消防水泵房、控制室</t>
  </si>
  <si>
    <t>底板防水2+楼2:防滑地砖防水楼面</t>
  </si>
  <si>
    <t>内3:面砖防水墙面</t>
  </si>
  <si>
    <t>棚3:防潮顶棚</t>
  </si>
  <si>
    <t>卫生间</t>
  </si>
  <si>
    <t>底板防水2+毛坯楼2(面层详室内二次设计)</t>
  </si>
  <si>
    <t>毛坯墙2(面层详室内二次设计)</t>
  </si>
  <si>
    <t>棚3(面层详室内二次设计)</t>
  </si>
  <si>
    <t>详室内二次设计</t>
  </si>
  <si>
    <t>走道</t>
  </si>
  <si>
    <r>
      <rPr>
        <sz val="10"/>
        <rFont val="宋体"/>
        <charset val="0"/>
      </rPr>
      <t>踢</t>
    </r>
    <r>
      <rPr>
        <sz val="10"/>
        <rFont val="Arial"/>
        <charset val="0"/>
      </rPr>
      <t>2:</t>
    </r>
    <r>
      <rPr>
        <sz val="10"/>
        <rFont val="宋体"/>
        <charset val="0"/>
      </rPr>
      <t>瓷砖踢脚</t>
    </r>
    <r>
      <rPr>
        <sz val="10"/>
        <rFont val="Arial"/>
        <charset val="0"/>
      </rPr>
      <t>(100</t>
    </r>
    <r>
      <rPr>
        <sz val="10"/>
        <rFont val="宋体"/>
        <charset val="0"/>
      </rPr>
      <t>高</t>
    </r>
    <r>
      <rPr>
        <sz val="10"/>
        <rFont val="Arial"/>
        <charset val="0"/>
      </rPr>
      <t>)</t>
    </r>
  </si>
  <si>
    <t>下沉广场</t>
  </si>
  <si>
    <t>底板防水2+详景观二次设计</t>
  </si>
  <si>
    <t>消防水池</t>
  </si>
  <si>
    <t>水池做法</t>
  </si>
  <si>
    <t>一层</t>
  </si>
  <si>
    <t>餐饮、商铺</t>
  </si>
  <si>
    <t>毛坯楼1、毛坯地1:砂浆地面</t>
  </si>
  <si>
    <t>毛坯棚1:结构顶棚</t>
  </si>
  <si>
    <t>前室、楼梯间、楼梯间踏步(平台)</t>
  </si>
  <si>
    <t>楼3:防滑地砖楼面</t>
  </si>
  <si>
    <t>电梯厅、公共走道</t>
  </si>
  <si>
    <t>详室内二次设计(燃烧等级A级)</t>
  </si>
  <si>
    <t>疏散走道</t>
  </si>
  <si>
    <t>卫生间、母婴室、清洁间</t>
  </si>
  <si>
    <t>楼5(面层详室内二次设计)</t>
  </si>
  <si>
    <t>邮政所</t>
  </si>
  <si>
    <t>地1、楼3:防滑地砖楼面</t>
  </si>
  <si>
    <t>内6:乳胶漆墙面</t>
  </si>
  <si>
    <t>棚2:腻子顶棚</t>
  </si>
  <si>
    <t>垃圾收集站</t>
  </si>
  <si>
    <t>地3:防滑地砖防水地面</t>
  </si>
  <si>
    <r>
      <rPr>
        <sz val="10"/>
        <rFont val="宋体"/>
        <charset val="0"/>
      </rPr>
      <t>内</t>
    </r>
    <r>
      <rPr>
        <sz val="10"/>
        <rFont val="Arial"/>
        <charset val="0"/>
      </rPr>
      <t>3:</t>
    </r>
    <r>
      <rPr>
        <sz val="10"/>
        <rFont val="宋体"/>
        <charset val="0"/>
      </rPr>
      <t>面砖防水墙面</t>
    </r>
  </si>
  <si>
    <t>消防控制室</t>
  </si>
  <si>
    <t>地1b:地砖楼面</t>
  </si>
  <si>
    <t>低压配电房、高压配电房、开关房</t>
  </si>
  <si>
    <t>楼1:环氧树脂楼面</t>
  </si>
  <si>
    <r>
      <rPr>
        <sz val="10"/>
        <rFont val="宋体"/>
        <charset val="0"/>
      </rPr>
      <t>棚</t>
    </r>
    <r>
      <rPr>
        <sz val="10"/>
        <rFont val="Arial"/>
        <charset val="0"/>
      </rPr>
      <t>1:</t>
    </r>
    <r>
      <rPr>
        <sz val="10"/>
        <rFont val="宋体"/>
        <charset val="0"/>
      </rPr>
      <t>无机涂料顶棚</t>
    </r>
    <r>
      <rPr>
        <sz val="10"/>
        <rFont val="Arial"/>
        <charset val="0"/>
      </rPr>
      <t>(</t>
    </r>
    <r>
      <rPr>
        <sz val="10"/>
        <rFont val="宋体"/>
        <charset val="0"/>
      </rPr>
      <t>燃烧等级</t>
    </r>
    <r>
      <rPr>
        <sz val="10"/>
        <rFont val="Arial"/>
        <charset val="0"/>
      </rPr>
      <t>A</t>
    </r>
    <r>
      <rPr>
        <sz val="10"/>
        <rFont val="宋体"/>
        <charset val="0"/>
      </rPr>
      <t>级</t>
    </r>
    <r>
      <rPr>
        <sz val="10"/>
        <rFont val="Arial"/>
        <charset val="0"/>
      </rPr>
      <t>)</t>
    </r>
  </si>
  <si>
    <t>楼4:水泥砂浆楼面</t>
  </si>
  <si>
    <t>台阶、坡道、散水</t>
  </si>
  <si>
    <t>坡1、坡2:防滑砖坡道(台阶)</t>
  </si>
  <si>
    <t>环卫工人休息室</t>
  </si>
  <si>
    <t>棚2:刮腻子顶棚</t>
  </si>
  <si>
    <t>外廊</t>
  </si>
  <si>
    <t>楼2:(面层详室内二次设计)</t>
  </si>
  <si>
    <t>二层
~
四层</t>
  </si>
  <si>
    <t>餐饮、商铺、多功能厅</t>
  </si>
  <si>
    <t>毛坯楼1:砂浆地面</t>
  </si>
  <si>
    <t>新风机房、排烟机房</t>
  </si>
  <si>
    <t>楼1A:细石混凝土楼面(隔声)</t>
  </si>
  <si>
    <r>
      <rPr>
        <sz val="10"/>
        <rFont val="宋体"/>
        <charset val="0"/>
      </rPr>
      <t>梁下</t>
    </r>
    <r>
      <rPr>
        <sz val="10"/>
        <rFont val="Arial"/>
        <charset val="0"/>
      </rPr>
      <t>100</t>
    </r>
    <r>
      <rPr>
        <sz val="10"/>
        <rFont val="宋体"/>
        <charset val="0"/>
      </rPr>
      <t>安装</t>
    </r>
  </si>
  <si>
    <t>露台、屋面</t>
  </si>
  <si>
    <t>屋1:倒置式防水+防滑地砖屋面</t>
  </si>
  <si>
    <t>屋面</t>
  </si>
  <si>
    <t>不上人屋面</t>
  </si>
  <si>
    <t>屋2:混凝土屋面</t>
  </si>
  <si>
    <t>稳压泵房</t>
  </si>
  <si>
    <t>楼2:防滑地砖防水楼面</t>
  </si>
  <si>
    <t>外墙</t>
  </si>
  <si>
    <t>铝板墙面</t>
  </si>
  <si>
    <t>外1:铝单板外墙</t>
  </si>
  <si>
    <t>涂料墙面</t>
  </si>
  <si>
    <t>外2、外3:涂料外墙</t>
  </si>
  <si>
    <t>室内
设备基础</t>
  </si>
  <si>
    <t>无防水要求机房</t>
  </si>
  <si>
    <t>有防水要求机房</t>
  </si>
  <si>
    <t>楼9:水泥砂浆防水楼面</t>
  </si>
  <si>
    <t>涂料名称</t>
  </si>
  <si>
    <t>不含税单价</t>
  </si>
  <si>
    <t>税率</t>
  </si>
  <si>
    <t>含税合计</t>
  </si>
  <si>
    <t>询价1</t>
  </si>
  <si>
    <t>询价2</t>
  </si>
  <si>
    <t>询价3</t>
  </si>
  <si>
    <t>无机防水涂料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</si>
</sst>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鐄"/>
    <numFmt numFmtId="178" formatCode="0_ "/>
    <numFmt numFmtId="179" formatCode="#,##0.00_ "/>
  </numFmts>
  <fonts count="44">
    <font>
      <sz val="9"/>
      <color theme="1"/>
      <name val="??"/>
      <charset val="134"/>
      <scheme val="minor"/>
    </font>
    <font>
      <b/>
      <sz val="9"/>
      <color theme="1"/>
      <name val="??"/>
      <charset val="134"/>
      <scheme val="minor"/>
    </font>
    <font>
      <sz val="10"/>
      <name val="宋体"/>
      <charset val="134"/>
    </font>
    <font>
      <sz val="9"/>
      <name val="宋体"/>
      <charset val="134"/>
    </font>
    <font>
      <sz val="10"/>
      <name val="Arial"/>
      <charset val="0"/>
    </font>
    <font>
      <sz val="10"/>
      <name val="宋体"/>
      <charset val="0"/>
    </font>
    <font>
      <b/>
      <sz val="10"/>
      <color indexed="8"/>
      <name val="宋体"/>
      <charset val="134"/>
    </font>
    <font>
      <sz val="11"/>
      <name val="宋体"/>
      <charset val="134"/>
    </font>
    <font>
      <sz val="10"/>
      <color indexed="8"/>
      <name val="宋体"/>
      <charset val="134"/>
    </font>
    <font>
      <sz val="11"/>
      <color indexed="8"/>
      <name val="宋体"/>
      <charset val="134"/>
    </font>
    <font>
      <b/>
      <sz val="10"/>
      <name val="宋体"/>
      <charset val="134"/>
    </font>
    <font>
      <sz val="10"/>
      <name val="黑体"/>
      <charset val="134"/>
    </font>
    <font>
      <sz val="9"/>
      <color theme="1"/>
      <name val="宋体"/>
      <charset val="134"/>
    </font>
    <font>
      <b/>
      <sz val="16"/>
      <color theme="1"/>
      <name val="宋体"/>
      <charset val="134"/>
    </font>
    <font>
      <b/>
      <sz val="12"/>
      <name val="宋体"/>
      <charset val="134"/>
    </font>
    <font>
      <sz val="11"/>
      <color theme="1"/>
      <name val="宋体"/>
      <charset val="134"/>
    </font>
    <font>
      <sz val="11.5"/>
      <color rgb="FF535459"/>
      <name val="宋体"/>
      <charset val="134"/>
    </font>
    <font>
      <sz val="11.4"/>
      <color rgb="FF535459"/>
      <name val="*KSNNSFKHDS0"/>
      <charset val="134"/>
    </font>
    <font>
      <sz val="12"/>
      <name val="宋体"/>
      <charset val="134"/>
    </font>
    <font>
      <b/>
      <sz val="14"/>
      <name val="宋体"/>
      <charset val="134"/>
    </font>
    <font>
      <sz val="11"/>
      <name val="仿宋"/>
      <charset val="134"/>
    </font>
    <font>
      <b/>
      <sz val="16"/>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Times New Roman"/>
      <charset val="0"/>
    </font>
    <font>
      <vertAlign val="superscript"/>
      <sz val="10"/>
      <name val="Times New Roman"/>
      <charset val="0"/>
    </font>
  </fonts>
  <fills count="40">
    <fill>
      <patternFill patternType="none"/>
    </fill>
    <fill>
      <patternFill patternType="gray125"/>
    </fill>
    <fill>
      <patternFill patternType="solid">
        <fgColor indexed="9"/>
        <bgColor indexed="1"/>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9" tint="0.599993896298105"/>
        <bgColor indexed="64"/>
      </patternFill>
    </fill>
    <fill>
      <patternFill patternType="solid">
        <fgColor rgb="FF00B0F0"/>
        <bgColor indexed="1"/>
      </patternFill>
    </fill>
    <fill>
      <patternFill patternType="solid">
        <fgColor rgb="FFFFC000"/>
        <bgColor indexed="64"/>
      </patternFill>
    </fill>
    <fill>
      <patternFill patternType="solid">
        <fgColor rgb="FFFFFF00"/>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style="thin">
        <color auto="1"/>
      </left>
      <right style="thin">
        <color auto="1"/>
      </right>
      <top style="medium">
        <color auto="1"/>
      </top>
      <bottom style="thin">
        <color auto="1"/>
      </bottom>
      <diagonal/>
    </border>
    <border>
      <left/>
      <right style="thin">
        <color indexed="8"/>
      </right>
      <top style="medium">
        <color auto="1"/>
      </top>
      <bottom/>
      <diagonal/>
    </border>
    <border>
      <left style="thin">
        <color indexed="8"/>
      </left>
      <right style="medium">
        <color auto="1"/>
      </right>
      <top style="medium">
        <color auto="1"/>
      </top>
      <bottom style="thin">
        <color indexed="8"/>
      </bottom>
      <diagonal/>
    </border>
    <border>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auto="1"/>
      </right>
      <top style="thin">
        <color indexed="8"/>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10" borderId="4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1" applyNumberFormat="0" applyFill="0" applyAlignment="0" applyProtection="0">
      <alignment vertical="center"/>
    </xf>
    <xf numFmtId="0" fontId="29" fillId="0" borderId="41" applyNumberFormat="0" applyFill="0" applyAlignment="0" applyProtection="0">
      <alignment vertical="center"/>
    </xf>
    <xf numFmtId="0" fontId="30" fillId="0" borderId="42" applyNumberFormat="0" applyFill="0" applyAlignment="0" applyProtection="0">
      <alignment vertical="center"/>
    </xf>
    <xf numFmtId="0" fontId="30" fillId="0" borderId="0" applyNumberFormat="0" applyFill="0" applyBorder="0" applyAlignment="0" applyProtection="0">
      <alignment vertical="center"/>
    </xf>
    <xf numFmtId="0" fontId="31" fillId="11" borderId="43" applyNumberFormat="0" applyAlignment="0" applyProtection="0">
      <alignment vertical="center"/>
    </xf>
    <xf numFmtId="0" fontId="32" fillId="12" borderId="44" applyNumberFormat="0" applyAlignment="0" applyProtection="0">
      <alignment vertical="center"/>
    </xf>
    <xf numFmtId="0" fontId="33" fillId="12" borderId="43" applyNumberFormat="0" applyAlignment="0" applyProtection="0">
      <alignment vertical="center"/>
    </xf>
    <xf numFmtId="0" fontId="34" fillId="13" borderId="45" applyNumberFormat="0" applyAlignment="0" applyProtection="0">
      <alignment vertical="center"/>
    </xf>
    <xf numFmtId="0" fontId="35" fillId="0" borderId="46" applyNumberFormat="0" applyFill="0" applyAlignment="0" applyProtection="0">
      <alignment vertical="center"/>
    </xf>
    <xf numFmtId="0" fontId="36" fillId="0" borderId="47" applyNumberFormat="0" applyFill="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0" fillId="36" borderId="0" applyNumberFormat="0" applyBorder="0" applyAlignment="0" applyProtection="0">
      <alignment vertical="center"/>
    </xf>
    <xf numFmtId="0" fontId="40" fillId="37" borderId="0" applyNumberFormat="0" applyBorder="0" applyAlignment="0" applyProtection="0">
      <alignment vertical="center"/>
    </xf>
    <xf numFmtId="0" fontId="41" fillId="38" borderId="0" applyNumberFormat="0" applyBorder="0" applyAlignment="0" applyProtection="0">
      <alignment vertical="center"/>
    </xf>
    <xf numFmtId="0" fontId="41" fillId="6" borderId="0" applyNumberFormat="0" applyBorder="0" applyAlignment="0" applyProtection="0">
      <alignment vertical="center"/>
    </xf>
    <xf numFmtId="0" fontId="40" fillId="39" borderId="0" applyNumberFormat="0" applyBorder="0" applyAlignment="0" applyProtection="0">
      <alignment vertical="center"/>
    </xf>
    <xf numFmtId="0" fontId="0" fillId="0" borderId="0"/>
    <xf numFmtId="0" fontId="18" fillId="0" borderId="0">
      <alignment vertical="center"/>
    </xf>
  </cellStyleXfs>
  <cellXfs count="176">
    <xf numFmtId="0" fontId="0" fillId="0" borderId="0" xfId="49"/>
    <xf numFmtId="0" fontId="0" fillId="0" borderId="0" xfId="49" applyFont="1" applyFill="1" applyAlignment="1"/>
    <xf numFmtId="176" fontId="0" fillId="0" borderId="0" xfId="49" applyNumberFormat="1" applyAlignment="1">
      <alignment horizontal="center"/>
    </xf>
    <xf numFmtId="0" fontId="1" fillId="0" borderId="0" xfId="0" applyFont="1" applyBorder="1" applyAlignment="1">
      <alignment horizontal="center" vertical="center"/>
    </xf>
    <xf numFmtId="176" fontId="1" fillId="0" borderId="0" xfId="0" applyNumberFormat="1" applyFont="1" applyBorder="1" applyAlignment="1">
      <alignment horizontal="center" vertical="center"/>
    </xf>
    <xf numFmtId="0" fontId="2" fillId="2" borderId="1" xfId="49" applyFont="1" applyFill="1" applyBorder="1" applyAlignment="1">
      <alignment horizontal="center" vertical="center" wrapText="1"/>
    </xf>
    <xf numFmtId="176" fontId="2" fillId="2" borderId="2" xfId="49" applyNumberFormat="1" applyFont="1" applyFill="1" applyBorder="1" applyAlignment="1">
      <alignment horizontal="center" vertical="center" wrapText="1"/>
    </xf>
    <xf numFmtId="176" fontId="2" fillId="2" borderId="3" xfId="49" applyNumberFormat="1" applyFont="1" applyFill="1" applyBorder="1" applyAlignment="1">
      <alignment horizontal="center" vertical="center" wrapText="1"/>
    </xf>
    <xf numFmtId="176" fontId="2" fillId="2" borderId="4" xfId="49" applyNumberFormat="1" applyFont="1" applyFill="1" applyBorder="1" applyAlignment="1">
      <alignment horizontal="center" vertical="center" wrapText="1"/>
    </xf>
    <xf numFmtId="0" fontId="2" fillId="2" borderId="5" xfId="49" applyFont="1" applyFill="1" applyBorder="1" applyAlignment="1">
      <alignment horizontal="center" vertical="center" wrapText="1"/>
    </xf>
    <xf numFmtId="176" fontId="2" fillId="2" borderId="1" xfId="49" applyNumberFormat="1" applyFont="1" applyFill="1" applyBorder="1" applyAlignment="1">
      <alignment horizontal="center" vertical="center" wrapText="1"/>
    </xf>
    <xf numFmtId="176" fontId="2" fillId="2" borderId="5" xfId="49" applyNumberFormat="1" applyFont="1" applyFill="1" applyBorder="1" applyAlignment="1">
      <alignment horizontal="center" vertical="center"/>
    </xf>
    <xf numFmtId="0" fontId="2" fillId="2" borderId="6" xfId="49" applyFont="1" applyFill="1" applyBorder="1" applyAlignment="1">
      <alignment horizontal="center" vertical="center" wrapText="1"/>
    </xf>
    <xf numFmtId="0" fontId="2" fillId="2" borderId="1" xfId="49" applyFont="1" applyFill="1" applyBorder="1" applyAlignment="1">
      <alignment horizontal="left" vertical="center" wrapText="1"/>
    </xf>
    <xf numFmtId="176" fontId="2" fillId="0" borderId="1" xfId="49" applyNumberFormat="1" applyFont="1" applyFill="1" applyBorder="1" applyAlignment="1">
      <alignment horizontal="right" vertical="center" wrapText="1"/>
    </xf>
    <xf numFmtId="176" fontId="3" fillId="2" borderId="1" xfId="49" applyNumberFormat="1" applyFont="1" applyFill="1" applyBorder="1" applyAlignment="1">
      <alignment horizontal="center" vertical="center" wrapText="1"/>
    </xf>
    <xf numFmtId="9" fontId="3" fillId="2" borderId="1" xfId="49" applyNumberFormat="1" applyFont="1" applyFill="1" applyBorder="1" applyAlignment="1">
      <alignment horizontal="center" vertical="center" wrapText="1"/>
    </xf>
    <xf numFmtId="0" fontId="3" fillId="2" borderId="1" xfId="49" applyFont="1" applyFill="1" applyBorder="1" applyAlignment="1">
      <alignment horizontal="left" vertical="center" wrapText="1"/>
    </xf>
    <xf numFmtId="0" fontId="2" fillId="2" borderId="1" xfId="49" applyFont="1" applyFill="1" applyBorder="1" applyAlignment="1">
      <alignment horizontal="right" vertical="center" wrapText="1"/>
    </xf>
    <xf numFmtId="176" fontId="0" fillId="0" borderId="1" xfId="49" applyNumberFormat="1" applyBorder="1" applyAlignment="1">
      <alignment horizontal="center" vertical="center"/>
    </xf>
    <xf numFmtId="0" fontId="0" fillId="0" borderId="1" xfId="49" applyBorder="1" applyAlignment="1">
      <alignment horizontal="center" vertical="center"/>
    </xf>
    <xf numFmtId="176" fontId="0" fillId="0" borderId="0" xfId="49" applyNumberFormat="1"/>
    <xf numFmtId="176" fontId="0" fillId="3" borderId="0" xfId="49" applyNumberFormat="1" applyFill="1"/>
    <xf numFmtId="0" fontId="0" fillId="3" borderId="0" xfId="49" applyFill="1"/>
    <xf numFmtId="0" fontId="0" fillId="3" borderId="0" xfId="49" applyFont="1" applyFill="1" applyAlignment="1"/>
    <xf numFmtId="0" fontId="4" fillId="0" borderId="0" xfId="0" applyFont="1" applyFill="1" applyBorder="1" applyAlignment="1"/>
    <xf numFmtId="0" fontId="5"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5" fillId="4"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7" fillId="0" borderId="1" xfId="0" applyFont="1" applyFill="1" applyBorder="1" applyAlignment="1">
      <alignment horizont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xf>
    <xf numFmtId="2" fontId="8" fillId="0" borderId="1" xfId="0" applyNumberFormat="1" applyFont="1" applyFill="1" applyBorder="1" applyAlignment="1">
      <alignment horizontal="center" vertical="center"/>
    </xf>
    <xf numFmtId="2"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8" fillId="5"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8" fillId="0" borderId="4" xfId="0" applyFont="1" applyFill="1" applyBorder="1" applyAlignment="1">
      <alignment horizontal="center" vertical="center" wrapText="1"/>
    </xf>
    <xf numFmtId="9" fontId="8" fillId="4" borderId="1" xfId="3" applyNumberFormat="1" applyFont="1" applyFill="1" applyBorder="1" applyAlignment="1">
      <alignment horizontal="right" vertical="center"/>
    </xf>
    <xf numFmtId="2" fontId="6" fillId="6" borderId="1" xfId="0" applyNumberFormat="1" applyFont="1" applyFill="1" applyBorder="1" applyAlignment="1">
      <alignment horizontal="center" vertical="center"/>
    </xf>
    <xf numFmtId="0" fontId="0" fillId="0" borderId="0" xfId="49" applyAlignment="1">
      <alignment horizontal="center"/>
    </xf>
    <xf numFmtId="0" fontId="2" fillId="2" borderId="8" xfId="49" applyFont="1" applyFill="1" applyBorder="1" applyAlignment="1">
      <alignment horizontal="center" vertical="center" wrapText="1"/>
    </xf>
    <xf numFmtId="0" fontId="2" fillId="2" borderId="9" xfId="49" applyFont="1" applyFill="1" applyBorder="1" applyAlignment="1">
      <alignment horizontal="center" vertical="center" wrapText="1"/>
    </xf>
    <xf numFmtId="0" fontId="2" fillId="2" borderId="10" xfId="49" applyFont="1" applyFill="1" applyBorder="1" applyAlignment="1">
      <alignment horizontal="center" vertical="center" wrapText="1"/>
    </xf>
    <xf numFmtId="0" fontId="2" fillId="2" borderId="11" xfId="49" applyFont="1" applyFill="1" applyBorder="1" applyAlignment="1">
      <alignment horizontal="center" vertical="center" wrapText="1"/>
    </xf>
    <xf numFmtId="0" fontId="2" fillId="2" borderId="12" xfId="49" applyFont="1" applyFill="1" applyBorder="1" applyAlignment="1">
      <alignment horizontal="center" vertical="center" wrapText="1"/>
    </xf>
    <xf numFmtId="0" fontId="2" fillId="2" borderId="13" xfId="49" applyFont="1" applyFill="1" applyBorder="1" applyAlignment="1">
      <alignment horizontal="center" vertical="center" wrapText="1"/>
    </xf>
    <xf numFmtId="0" fontId="2" fillId="2" borderId="14" xfId="49" applyFont="1" applyFill="1" applyBorder="1" applyAlignment="1">
      <alignment horizontal="center" vertical="center" wrapText="1"/>
    </xf>
    <xf numFmtId="0" fontId="10" fillId="2" borderId="12" xfId="49" applyFont="1" applyFill="1" applyBorder="1" applyAlignment="1">
      <alignment horizontal="left" vertical="center" wrapText="1"/>
    </xf>
    <xf numFmtId="0" fontId="2" fillId="2" borderId="12" xfId="49" applyFont="1" applyFill="1" applyBorder="1" applyAlignment="1">
      <alignment horizontal="left" vertical="center" wrapText="1"/>
    </xf>
    <xf numFmtId="176" fontId="2" fillId="0" borderId="12" xfId="49" applyNumberFormat="1" applyFont="1" applyFill="1" applyBorder="1" applyAlignment="1">
      <alignment horizontal="center" vertical="center" wrapText="1"/>
    </xf>
    <xf numFmtId="0" fontId="2" fillId="7" borderId="11" xfId="49" applyFont="1" applyFill="1" applyBorder="1" applyAlignment="1">
      <alignment horizontal="center" vertical="center" wrapText="1"/>
    </xf>
    <xf numFmtId="0" fontId="2" fillId="7" borderId="12" xfId="49" applyFont="1" applyFill="1" applyBorder="1" applyAlignment="1">
      <alignment horizontal="left" vertical="center" wrapText="1"/>
    </xf>
    <xf numFmtId="0" fontId="2" fillId="7" borderId="12" xfId="49" applyFont="1" applyFill="1" applyBorder="1" applyAlignment="1">
      <alignment horizontal="center" vertical="center" wrapText="1"/>
    </xf>
    <xf numFmtId="176" fontId="2" fillId="3" borderId="12" xfId="49" applyNumberFormat="1" applyFont="1" applyFill="1" applyBorder="1" applyAlignment="1">
      <alignment horizontal="center" vertical="center" wrapText="1"/>
    </xf>
    <xf numFmtId="0" fontId="2" fillId="2" borderId="15" xfId="49" applyFont="1" applyFill="1" applyBorder="1" applyAlignment="1">
      <alignment horizontal="center" vertical="center" wrapText="1"/>
    </xf>
    <xf numFmtId="0" fontId="2" fillId="2" borderId="16" xfId="49" applyFont="1" applyFill="1" applyBorder="1" applyAlignment="1">
      <alignment horizontal="center" vertical="center" wrapText="1"/>
    </xf>
    <xf numFmtId="0" fontId="2" fillId="2" borderId="17" xfId="49" applyFont="1" applyFill="1" applyBorder="1" applyAlignment="1">
      <alignment horizontal="center" vertical="center" wrapText="1"/>
    </xf>
    <xf numFmtId="176" fontId="2" fillId="2" borderId="18" xfId="49" applyNumberFormat="1" applyFont="1" applyFill="1" applyBorder="1" applyAlignment="1">
      <alignment horizontal="center" vertical="center" wrapText="1"/>
    </xf>
    <xf numFmtId="176" fontId="2" fillId="2" borderId="9" xfId="49" applyNumberFormat="1" applyFont="1" applyFill="1" applyBorder="1" applyAlignment="1">
      <alignment horizontal="center" vertical="center" wrapText="1"/>
    </xf>
    <xf numFmtId="0" fontId="2" fillId="2" borderId="19" xfId="49" applyFont="1" applyFill="1" applyBorder="1" applyAlignment="1">
      <alignment horizontal="center" vertical="center" wrapText="1"/>
    </xf>
    <xf numFmtId="176" fontId="2" fillId="2" borderId="20" xfId="49" applyNumberFormat="1" applyFont="1" applyFill="1" applyBorder="1" applyAlignment="1">
      <alignment horizontal="center" vertical="center" wrapText="1"/>
    </xf>
    <xf numFmtId="0" fontId="2" fillId="2" borderId="21" xfId="49" applyFont="1" applyFill="1" applyBorder="1" applyAlignment="1">
      <alignment horizontal="center" vertical="center" wrapText="1"/>
    </xf>
    <xf numFmtId="0" fontId="2" fillId="2" borderId="12" xfId="49" applyFont="1" applyFill="1" applyBorder="1" applyAlignment="1">
      <alignment horizontal="right" vertical="center" wrapText="1"/>
    </xf>
    <xf numFmtId="0" fontId="2" fillId="2" borderId="22" xfId="49" applyFont="1" applyFill="1" applyBorder="1" applyAlignment="1">
      <alignment horizontal="right" vertical="center" wrapText="1"/>
    </xf>
    <xf numFmtId="176" fontId="2" fillId="2" borderId="22" xfId="49" applyNumberFormat="1" applyFont="1" applyFill="1" applyBorder="1" applyAlignment="1">
      <alignment horizontal="center" vertical="center" wrapText="1"/>
    </xf>
    <xf numFmtId="176" fontId="2" fillId="2" borderId="12" xfId="49" applyNumberFormat="1" applyFont="1" applyFill="1" applyBorder="1" applyAlignment="1">
      <alignment horizontal="center" vertical="center" wrapText="1"/>
    </xf>
    <xf numFmtId="0" fontId="2" fillId="2" borderId="21" xfId="49" applyFont="1" applyFill="1" applyBorder="1" applyAlignment="1">
      <alignment horizontal="right" vertical="center" wrapText="1"/>
    </xf>
    <xf numFmtId="176" fontId="2" fillId="4" borderId="12" xfId="49" applyNumberFormat="1" applyFont="1" applyFill="1" applyBorder="1" applyAlignment="1">
      <alignment horizontal="right" vertical="center" wrapText="1"/>
    </xf>
    <xf numFmtId="176" fontId="2" fillId="0" borderId="12" xfId="49" applyNumberFormat="1" applyFont="1" applyFill="1" applyBorder="1" applyAlignment="1">
      <alignment horizontal="right" vertical="center" wrapText="1"/>
    </xf>
    <xf numFmtId="176" fontId="3" fillId="2" borderId="12" xfId="49" applyNumberFormat="1" applyFont="1" applyFill="1" applyBorder="1" applyAlignment="1">
      <alignment horizontal="center" vertical="center" wrapText="1"/>
    </xf>
    <xf numFmtId="0" fontId="3" fillId="2" borderId="21" xfId="49" applyFont="1" applyFill="1" applyBorder="1" applyAlignment="1">
      <alignment horizontal="left" vertical="center" wrapText="1"/>
    </xf>
    <xf numFmtId="176" fontId="2" fillId="3" borderId="12" xfId="49" applyNumberFormat="1" applyFont="1" applyFill="1" applyBorder="1" applyAlignment="1">
      <alignment horizontal="right" vertical="center" wrapText="1"/>
    </xf>
    <xf numFmtId="0" fontId="2" fillId="7" borderId="12" xfId="49" applyFont="1" applyFill="1" applyBorder="1" applyAlignment="1">
      <alignment horizontal="right" vertical="center" wrapText="1"/>
    </xf>
    <xf numFmtId="176" fontId="3" fillId="7" borderId="12" xfId="49" applyNumberFormat="1" applyFont="1" applyFill="1" applyBorder="1" applyAlignment="1">
      <alignment horizontal="center" vertical="center" wrapText="1"/>
    </xf>
    <xf numFmtId="0" fontId="3" fillId="7" borderId="21" xfId="49" applyFont="1" applyFill="1" applyBorder="1" applyAlignment="1">
      <alignment horizontal="left" vertical="center" wrapText="1"/>
    </xf>
    <xf numFmtId="176" fontId="2" fillId="8" borderId="12" xfId="49" applyNumberFormat="1" applyFont="1" applyFill="1" applyBorder="1" applyAlignment="1">
      <alignment horizontal="right" vertical="center" wrapText="1"/>
    </xf>
    <xf numFmtId="176" fontId="2" fillId="2" borderId="16" xfId="49" applyNumberFormat="1" applyFont="1" applyFill="1" applyBorder="1" applyAlignment="1">
      <alignment horizontal="center" vertical="center" wrapText="1"/>
    </xf>
    <xf numFmtId="0" fontId="2" fillId="2" borderId="23" xfId="49" applyFont="1" applyFill="1" applyBorder="1" applyAlignment="1">
      <alignment horizontal="right" vertical="center" wrapText="1"/>
    </xf>
    <xf numFmtId="0" fontId="0" fillId="0" borderId="0" xfId="49" applyAlignment="1">
      <alignment horizontal="center" vertical="center"/>
    </xf>
    <xf numFmtId="176" fontId="0" fillId="3" borderId="1" xfId="49" applyNumberFormat="1" applyFill="1" applyBorder="1" applyAlignment="1">
      <alignment horizontal="center" vertical="center"/>
    </xf>
    <xf numFmtId="0" fontId="0" fillId="3" borderId="1" xfId="49" applyFill="1" applyBorder="1" applyAlignment="1">
      <alignment horizontal="center" vertical="center"/>
    </xf>
    <xf numFmtId="0" fontId="0" fillId="0" borderId="1" xfId="49" applyFont="1" applyFill="1" applyBorder="1" applyAlignment="1">
      <alignment horizontal="center" vertical="center"/>
    </xf>
    <xf numFmtId="176" fontId="0" fillId="3" borderId="1" xfId="49" applyNumberFormat="1" applyFont="1" applyFill="1" applyBorder="1" applyAlignment="1">
      <alignment horizontal="center" vertical="center"/>
    </xf>
    <xf numFmtId="0" fontId="0" fillId="3" borderId="1" xfId="49" applyFont="1" applyFill="1" applyBorder="1" applyAlignment="1">
      <alignment horizontal="center" vertical="center"/>
    </xf>
    <xf numFmtId="176" fontId="0" fillId="0" borderId="1" xfId="49" applyNumberFormat="1" applyFont="1" applyFill="1" applyBorder="1" applyAlignment="1">
      <alignment horizontal="center" vertical="center"/>
    </xf>
    <xf numFmtId="0" fontId="0" fillId="0" borderId="0" xfId="0" applyAlignment="1">
      <alignment horizontal="center" vertical="center"/>
    </xf>
    <xf numFmtId="0" fontId="2" fillId="2" borderId="24" xfId="49" applyFont="1" applyFill="1" applyBorder="1" applyAlignment="1">
      <alignment horizontal="center" vertical="center" wrapText="1"/>
    </xf>
    <xf numFmtId="0" fontId="2" fillId="2" borderId="25" xfId="49" applyFont="1" applyFill="1" applyBorder="1" applyAlignment="1">
      <alignment horizontal="center" vertical="center" wrapText="1"/>
    </xf>
    <xf numFmtId="0" fontId="2" fillId="2" borderId="26" xfId="49" applyFont="1" applyFill="1" applyBorder="1" applyAlignment="1">
      <alignment horizontal="center" vertical="center" wrapText="1"/>
    </xf>
    <xf numFmtId="0" fontId="2" fillId="2" borderId="27" xfId="49" applyFont="1" applyFill="1" applyBorder="1" applyAlignment="1">
      <alignment horizontal="center" vertical="center" wrapText="1"/>
    </xf>
    <xf numFmtId="0" fontId="2" fillId="2" borderId="28" xfId="49" applyFont="1" applyFill="1" applyBorder="1" applyAlignment="1">
      <alignment horizontal="center" vertical="center" wrapText="1"/>
    </xf>
    <xf numFmtId="0" fontId="2" fillId="2" borderId="22" xfId="49" applyFont="1" applyFill="1" applyBorder="1" applyAlignment="1">
      <alignment horizontal="center" vertical="center" wrapText="1"/>
    </xf>
    <xf numFmtId="0" fontId="11" fillId="2" borderId="12" xfId="49" applyFont="1" applyFill="1" applyBorder="1" applyAlignment="1">
      <alignment horizontal="center" vertical="center" wrapText="1"/>
    </xf>
    <xf numFmtId="0" fontId="2" fillId="2" borderId="29" xfId="49" applyFont="1" applyFill="1" applyBorder="1" applyAlignment="1">
      <alignment horizontal="center" vertical="center" wrapText="1"/>
    </xf>
    <xf numFmtId="0" fontId="11" fillId="2" borderId="30" xfId="49" applyFont="1" applyFill="1" applyBorder="1" applyAlignment="1">
      <alignment horizontal="center" vertical="center" wrapText="1"/>
    </xf>
    <xf numFmtId="0" fontId="2" fillId="2" borderId="30" xfId="49" applyFont="1" applyFill="1" applyBorder="1" applyAlignment="1">
      <alignment horizontal="center" vertical="center" wrapText="1"/>
    </xf>
    <xf numFmtId="0" fontId="2" fillId="2" borderId="31" xfId="49" applyFont="1" applyFill="1" applyBorder="1" applyAlignment="1">
      <alignment horizontal="center" vertical="center" wrapText="1"/>
    </xf>
    <xf numFmtId="0" fontId="2" fillId="2" borderId="32" xfId="49" applyFont="1" applyFill="1" applyBorder="1" applyAlignment="1">
      <alignment horizontal="center" vertical="center" wrapText="1"/>
    </xf>
    <xf numFmtId="0" fontId="2" fillId="2" borderId="32" xfId="49" applyFont="1" applyFill="1" applyBorder="1" applyAlignment="1">
      <alignment horizontal="right" vertical="center" wrapText="1"/>
    </xf>
    <xf numFmtId="0" fontId="3" fillId="2" borderId="12" xfId="49" applyFont="1" applyFill="1" applyBorder="1" applyAlignment="1">
      <alignment horizontal="left" vertical="center" wrapText="1"/>
    </xf>
    <xf numFmtId="0" fontId="3" fillId="2" borderId="32" xfId="49" applyFont="1" applyFill="1" applyBorder="1" applyAlignment="1">
      <alignment horizontal="left" vertical="center" wrapText="1"/>
    </xf>
    <xf numFmtId="0" fontId="2" fillId="2" borderId="30" xfId="49" applyFont="1" applyFill="1" applyBorder="1" applyAlignment="1">
      <alignment horizontal="right" vertical="center" wrapText="1"/>
    </xf>
    <xf numFmtId="0" fontId="2" fillId="2" borderId="33" xfId="49" applyFont="1" applyFill="1" applyBorder="1" applyAlignment="1">
      <alignment horizontal="right" vertical="center" wrapText="1"/>
    </xf>
    <xf numFmtId="0" fontId="12" fillId="0" borderId="0" xfId="49" applyFont="1" applyFill="1" applyAlignment="1">
      <alignment horizontal="center"/>
    </xf>
    <xf numFmtId="0" fontId="12" fillId="0" borderId="0" xfId="49" applyFont="1" applyFill="1" applyAlignment="1"/>
    <xf numFmtId="0" fontId="12" fillId="0" borderId="0" xfId="49" applyFont="1" applyFill="1"/>
    <xf numFmtId="0" fontId="12" fillId="0" borderId="0" xfId="49" applyFont="1" applyFill="1" applyAlignment="1">
      <alignment horizontal="center" vertical="center"/>
    </xf>
    <xf numFmtId="0" fontId="12" fillId="0" borderId="0" xfId="49" applyFont="1" applyFill="1" applyAlignment="1">
      <alignment horizontal="left"/>
    </xf>
    <xf numFmtId="176" fontId="12" fillId="0" borderId="0" xfId="49" applyNumberFormat="1" applyFont="1" applyFill="1"/>
    <xf numFmtId="176" fontId="12" fillId="0" borderId="0" xfId="49" applyNumberFormat="1"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176" fontId="13" fillId="0" borderId="0" xfId="0" applyNumberFormat="1" applyFont="1" applyFill="1" applyBorder="1" applyAlignment="1">
      <alignment horizontal="center" vertical="center"/>
    </xf>
    <xf numFmtId="0" fontId="14" fillId="0" borderId="5" xfId="49" applyFont="1" applyFill="1" applyBorder="1" applyAlignment="1">
      <alignment horizontal="center" vertical="center" wrapText="1"/>
    </xf>
    <xf numFmtId="176" fontId="14" fillId="0" borderId="5" xfId="49" applyNumberFormat="1" applyFont="1" applyFill="1" applyBorder="1" applyAlignment="1">
      <alignment horizontal="center" vertical="center" wrapText="1"/>
    </xf>
    <xf numFmtId="176" fontId="14" fillId="0" borderId="2" xfId="49" applyNumberFormat="1" applyFont="1" applyFill="1" applyBorder="1" applyAlignment="1">
      <alignment horizontal="center" vertical="center" wrapText="1"/>
    </xf>
    <xf numFmtId="176" fontId="14" fillId="0" borderId="3" xfId="49" applyNumberFormat="1" applyFont="1" applyFill="1" applyBorder="1" applyAlignment="1">
      <alignment horizontal="center" vertical="center" wrapText="1"/>
    </xf>
    <xf numFmtId="0" fontId="14" fillId="0" borderId="7" xfId="49" applyFont="1" applyFill="1" applyBorder="1" applyAlignment="1">
      <alignment horizontal="center" vertical="center" wrapText="1"/>
    </xf>
    <xf numFmtId="176" fontId="14" fillId="0" borderId="7"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178" fontId="2" fillId="0" borderId="1" xfId="49" applyNumberFormat="1" applyFont="1" applyFill="1" applyBorder="1" applyAlignment="1">
      <alignment horizontal="center" vertical="center" wrapText="1"/>
    </xf>
    <xf numFmtId="176" fontId="2" fillId="0" borderId="7" xfId="49" applyNumberFormat="1" applyFont="1" applyFill="1" applyBorder="1" applyAlignment="1">
      <alignment horizontal="center" vertical="center" wrapText="1"/>
    </xf>
    <xf numFmtId="176" fontId="2" fillId="0" borderId="1" xfId="49" applyNumberFormat="1" applyFont="1" applyFill="1" applyBorder="1" applyAlignment="1">
      <alignment horizontal="left" vertical="center" wrapText="1"/>
    </xf>
    <xf numFmtId="176" fontId="2" fillId="0" borderId="1" xfId="49" applyNumberFormat="1" applyFont="1" applyFill="1" applyBorder="1" applyAlignment="1">
      <alignment horizontal="center" vertical="center" wrapText="1"/>
    </xf>
    <xf numFmtId="176" fontId="2" fillId="9" borderId="1" xfId="49" applyNumberFormat="1"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15" fillId="0" borderId="0" xfId="49" applyFont="1" applyFill="1" applyAlignment="1">
      <alignment horizontal="left" vertical="top" wrapText="1"/>
    </xf>
    <xf numFmtId="0" fontId="15" fillId="0" borderId="0" xfId="49" applyFont="1" applyFill="1" applyAlignment="1">
      <alignment horizontal="left" vertical="top"/>
    </xf>
    <xf numFmtId="0" fontId="16" fillId="0" borderId="0" xfId="0" applyFont="1" applyFill="1" applyAlignment="1">
      <alignment vertical="center" wrapText="1"/>
    </xf>
    <xf numFmtId="0" fontId="17" fillId="0" borderId="0" xfId="0" applyFont="1" applyFill="1">
      <alignment vertical="center"/>
    </xf>
    <xf numFmtId="0" fontId="3" fillId="0" borderId="1" xfId="49" applyFont="1" applyFill="1" applyBorder="1" applyAlignment="1">
      <alignment horizontal="center" vertical="center" wrapText="1"/>
    </xf>
    <xf numFmtId="0" fontId="10" fillId="0" borderId="1" xfId="49" applyFont="1" applyFill="1" applyBorder="1" applyAlignment="1">
      <alignment horizontal="right" vertical="center" wrapText="1"/>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20" fillId="0" borderId="0" xfId="0" applyFont="1" applyFill="1" applyAlignment="1">
      <alignment horizontal="left" vertical="center" wrapText="1"/>
    </xf>
    <xf numFmtId="0" fontId="18" fillId="0" borderId="0" xfId="0" applyFont="1" applyFill="1" applyAlignment="1">
      <alignment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176" fontId="21" fillId="0" borderId="0" xfId="0" applyNumberFormat="1" applyFont="1" applyFill="1" applyAlignment="1">
      <alignment horizontal="center" vertical="center"/>
    </xf>
    <xf numFmtId="0" fontId="14"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179" fontId="18" fillId="0" borderId="1" xfId="0" applyNumberFormat="1" applyFont="1" applyFill="1" applyBorder="1" applyAlignment="1">
      <alignment vertical="center"/>
    </xf>
    <xf numFmtId="0" fontId="3" fillId="0" borderId="1" xfId="0" applyFont="1" applyFill="1" applyBorder="1" applyAlignment="1">
      <alignment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176" fontId="18" fillId="0" borderId="1" xfId="0" applyNumberFormat="1"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39" xfId="0" applyFont="1" applyFill="1" applyBorder="1" applyAlignment="1">
      <alignment horizontal="center" vertical="center"/>
    </xf>
    <xf numFmtId="176" fontId="18" fillId="0" borderId="0" xfId="0" applyNumberFormat="1"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9" Type="http://schemas.openxmlformats.org/officeDocument/2006/relationships/image" Target="../media/image10.png"/><Relationship Id="rId8" Type="http://schemas.openxmlformats.org/officeDocument/2006/relationships/image" Target="../media/image9.png"/><Relationship Id="rId7" Type="http://schemas.openxmlformats.org/officeDocument/2006/relationships/image" Target="../media/image8.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9" Type="http://schemas.openxmlformats.org/officeDocument/2006/relationships/image" Target="../media/image16.png"/><Relationship Id="rId8" Type="http://schemas.openxmlformats.org/officeDocument/2006/relationships/image" Target="../media/image15.png"/><Relationship Id="rId7" Type="http://schemas.openxmlformats.org/officeDocument/2006/relationships/image" Target="../media/image14.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 Id="rId3" Type="http://schemas.openxmlformats.org/officeDocument/2006/relationships/image" Target="../media/image8.png"/><Relationship Id="rId2" Type="http://schemas.openxmlformats.org/officeDocument/2006/relationships/image" Target="../media/image4.png"/><Relationship Id="rId15" Type="http://schemas.openxmlformats.org/officeDocument/2006/relationships/image" Target="../media/image22.png"/><Relationship Id="rId14" Type="http://schemas.openxmlformats.org/officeDocument/2006/relationships/image" Target="../media/image21.png"/><Relationship Id="rId13" Type="http://schemas.openxmlformats.org/officeDocument/2006/relationships/image" Target="../media/image20.png"/><Relationship Id="rId12" Type="http://schemas.openxmlformats.org/officeDocument/2006/relationships/image" Target="../media/image19.png"/><Relationship Id="rId11" Type="http://schemas.openxmlformats.org/officeDocument/2006/relationships/image" Target="../media/image18.png"/><Relationship Id="rId10" Type="http://schemas.openxmlformats.org/officeDocument/2006/relationships/image" Target="../media/image17.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175260</xdr:colOff>
      <xdr:row>0</xdr:row>
      <xdr:rowOff>417830</xdr:rowOff>
    </xdr:from>
    <xdr:to>
      <xdr:col>18</xdr:col>
      <xdr:colOff>396240</xdr:colOff>
      <xdr:row>4</xdr:row>
      <xdr:rowOff>562610</xdr:rowOff>
    </xdr:to>
    <xdr:pic>
      <xdr:nvPicPr>
        <xdr:cNvPr id="2" name="图片 1"/>
        <xdr:cNvPicPr>
          <a:picLocks noChangeAspect="1"/>
        </xdr:cNvPicPr>
      </xdr:nvPicPr>
      <xdr:blipFill>
        <a:blip r:embed="rId1"/>
        <a:stretch>
          <a:fillRect/>
        </a:stretch>
      </xdr:blipFill>
      <xdr:spPr>
        <a:xfrm>
          <a:off x="9817100" y="417830"/>
          <a:ext cx="5707380" cy="281178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20</xdr:col>
      <xdr:colOff>121920</xdr:colOff>
      <xdr:row>8</xdr:row>
      <xdr:rowOff>234950</xdr:rowOff>
    </xdr:from>
    <xdr:to>
      <xdr:col>20</xdr:col>
      <xdr:colOff>1027430</xdr:colOff>
      <xdr:row>8</xdr:row>
      <xdr:rowOff>375920</xdr:rowOff>
    </xdr:to>
    <xdr:pic>
      <xdr:nvPicPr>
        <xdr:cNvPr id="5" name="图片 4"/>
        <xdr:cNvPicPr>
          <a:picLocks noChangeAspect="1"/>
        </xdr:cNvPicPr>
      </xdr:nvPicPr>
      <xdr:blipFill>
        <a:blip r:embed="rId1"/>
        <a:stretch>
          <a:fillRect/>
        </a:stretch>
      </xdr:blipFill>
      <xdr:spPr>
        <a:xfrm>
          <a:off x="21813520" y="3324225"/>
          <a:ext cx="905510" cy="140970"/>
        </a:xfrm>
        <a:prstGeom prst="rect">
          <a:avLst/>
        </a:prstGeom>
        <a:noFill/>
        <a:ln w="9525">
          <a:noFill/>
        </a:ln>
      </xdr:spPr>
    </xdr:pic>
    <xdr:clientData/>
  </xdr:twoCellAnchor>
  <xdr:twoCellAnchor editAs="oneCell">
    <xdr:from>
      <xdr:col>20</xdr:col>
      <xdr:colOff>74930</xdr:colOff>
      <xdr:row>5</xdr:row>
      <xdr:rowOff>203200</xdr:rowOff>
    </xdr:from>
    <xdr:to>
      <xdr:col>20</xdr:col>
      <xdr:colOff>1047750</xdr:colOff>
      <xdr:row>5</xdr:row>
      <xdr:rowOff>325120</xdr:rowOff>
    </xdr:to>
    <xdr:pic>
      <xdr:nvPicPr>
        <xdr:cNvPr id="6" name="图片 5"/>
        <xdr:cNvPicPr>
          <a:picLocks noChangeAspect="1"/>
        </xdr:cNvPicPr>
      </xdr:nvPicPr>
      <xdr:blipFill>
        <a:blip r:embed="rId2"/>
        <a:stretch>
          <a:fillRect/>
        </a:stretch>
      </xdr:blipFill>
      <xdr:spPr>
        <a:xfrm>
          <a:off x="21766530" y="1616075"/>
          <a:ext cx="972820" cy="121920"/>
        </a:xfrm>
        <a:prstGeom prst="rect">
          <a:avLst/>
        </a:prstGeom>
        <a:noFill/>
        <a:ln w="9525">
          <a:noFill/>
        </a:ln>
      </xdr:spPr>
    </xdr:pic>
    <xdr:clientData/>
  </xdr:twoCellAnchor>
  <xdr:twoCellAnchor editAs="oneCell">
    <xdr:from>
      <xdr:col>18</xdr:col>
      <xdr:colOff>95250</xdr:colOff>
      <xdr:row>5</xdr:row>
      <xdr:rowOff>196850</xdr:rowOff>
    </xdr:from>
    <xdr:to>
      <xdr:col>19</xdr:col>
      <xdr:colOff>10795</xdr:colOff>
      <xdr:row>5</xdr:row>
      <xdr:rowOff>375285</xdr:rowOff>
    </xdr:to>
    <xdr:pic>
      <xdr:nvPicPr>
        <xdr:cNvPr id="7" name="图片 6"/>
        <xdr:cNvPicPr>
          <a:picLocks noChangeAspect="1"/>
        </xdr:cNvPicPr>
      </xdr:nvPicPr>
      <xdr:blipFill>
        <a:blip r:embed="rId3"/>
        <a:stretch>
          <a:fillRect/>
        </a:stretch>
      </xdr:blipFill>
      <xdr:spPr>
        <a:xfrm>
          <a:off x="19903440" y="1609725"/>
          <a:ext cx="1006475" cy="178435"/>
        </a:xfrm>
        <a:prstGeom prst="rect">
          <a:avLst/>
        </a:prstGeom>
        <a:noFill/>
        <a:ln w="9525">
          <a:noFill/>
        </a:ln>
      </xdr:spPr>
    </xdr:pic>
    <xdr:clientData/>
  </xdr:twoCellAnchor>
  <xdr:twoCellAnchor editAs="oneCell">
    <xdr:from>
      <xdr:col>20</xdr:col>
      <xdr:colOff>56515</xdr:colOff>
      <xdr:row>27</xdr:row>
      <xdr:rowOff>245110</xdr:rowOff>
    </xdr:from>
    <xdr:to>
      <xdr:col>21</xdr:col>
      <xdr:colOff>0</xdr:colOff>
      <xdr:row>27</xdr:row>
      <xdr:rowOff>387350</xdr:rowOff>
    </xdr:to>
    <xdr:pic>
      <xdr:nvPicPr>
        <xdr:cNvPr id="10" name="图片 9"/>
        <xdr:cNvPicPr>
          <a:picLocks noChangeAspect="1"/>
        </xdr:cNvPicPr>
      </xdr:nvPicPr>
      <xdr:blipFill>
        <a:blip r:embed="rId4"/>
        <a:stretch>
          <a:fillRect/>
        </a:stretch>
      </xdr:blipFill>
      <xdr:spPr>
        <a:xfrm>
          <a:off x="21748115" y="13392785"/>
          <a:ext cx="1064895" cy="142240"/>
        </a:xfrm>
        <a:prstGeom prst="rect">
          <a:avLst/>
        </a:prstGeom>
        <a:noFill/>
        <a:ln w="9525">
          <a:noFill/>
        </a:ln>
      </xdr:spPr>
    </xdr:pic>
    <xdr:clientData/>
  </xdr:twoCellAnchor>
  <xdr:twoCellAnchor editAs="oneCell">
    <xdr:from>
      <xdr:col>18</xdr:col>
      <xdr:colOff>95250</xdr:colOff>
      <xdr:row>27</xdr:row>
      <xdr:rowOff>231775</xdr:rowOff>
    </xdr:from>
    <xdr:to>
      <xdr:col>19</xdr:col>
      <xdr:colOff>0</xdr:colOff>
      <xdr:row>27</xdr:row>
      <xdr:rowOff>355600</xdr:rowOff>
    </xdr:to>
    <xdr:pic>
      <xdr:nvPicPr>
        <xdr:cNvPr id="11" name="图片 10"/>
        <xdr:cNvPicPr>
          <a:picLocks noChangeAspect="1"/>
        </xdr:cNvPicPr>
      </xdr:nvPicPr>
      <xdr:blipFill>
        <a:blip r:embed="rId5"/>
        <a:stretch>
          <a:fillRect/>
        </a:stretch>
      </xdr:blipFill>
      <xdr:spPr>
        <a:xfrm>
          <a:off x="19903440" y="13379450"/>
          <a:ext cx="995680" cy="123825"/>
        </a:xfrm>
        <a:prstGeom prst="rect">
          <a:avLst/>
        </a:prstGeom>
        <a:noFill/>
        <a:ln w="9525">
          <a:noFill/>
        </a:ln>
      </xdr:spPr>
    </xdr:pic>
    <xdr:clientData/>
  </xdr:twoCellAnchor>
  <xdr:twoCellAnchor editAs="oneCell">
    <xdr:from>
      <xdr:col>18</xdr:col>
      <xdr:colOff>31750</xdr:colOff>
      <xdr:row>8</xdr:row>
      <xdr:rowOff>274320</xdr:rowOff>
    </xdr:from>
    <xdr:to>
      <xdr:col>18</xdr:col>
      <xdr:colOff>840105</xdr:colOff>
      <xdr:row>8</xdr:row>
      <xdr:rowOff>374650</xdr:rowOff>
    </xdr:to>
    <xdr:pic>
      <xdr:nvPicPr>
        <xdr:cNvPr id="12" name="图片 11"/>
        <xdr:cNvPicPr>
          <a:picLocks noChangeAspect="1"/>
        </xdr:cNvPicPr>
      </xdr:nvPicPr>
      <xdr:blipFill>
        <a:blip r:embed="rId6"/>
        <a:stretch>
          <a:fillRect/>
        </a:stretch>
      </xdr:blipFill>
      <xdr:spPr>
        <a:xfrm>
          <a:off x="19839940" y="3363595"/>
          <a:ext cx="808355" cy="100330"/>
        </a:xfrm>
        <a:prstGeom prst="rect">
          <a:avLst/>
        </a:prstGeom>
        <a:noFill/>
        <a:ln w="9525">
          <a:noFill/>
        </a:ln>
      </xdr:spPr>
    </xdr:pic>
    <xdr:clientData/>
  </xdr:twoCellAnchor>
  <xdr:twoCellAnchor editAs="oneCell">
    <xdr:from>
      <xdr:col>22</xdr:col>
      <xdr:colOff>75565</xdr:colOff>
      <xdr:row>5</xdr:row>
      <xdr:rowOff>185420</xdr:rowOff>
    </xdr:from>
    <xdr:to>
      <xdr:col>23</xdr:col>
      <xdr:colOff>0</xdr:colOff>
      <xdr:row>5</xdr:row>
      <xdr:rowOff>342900</xdr:rowOff>
    </xdr:to>
    <xdr:pic>
      <xdr:nvPicPr>
        <xdr:cNvPr id="15" name="图片 14"/>
        <xdr:cNvPicPr>
          <a:picLocks noChangeAspect="1"/>
        </xdr:cNvPicPr>
      </xdr:nvPicPr>
      <xdr:blipFill>
        <a:blip r:embed="rId7"/>
        <a:stretch>
          <a:fillRect/>
        </a:stretch>
      </xdr:blipFill>
      <xdr:spPr>
        <a:xfrm>
          <a:off x="23681055" y="1598295"/>
          <a:ext cx="1131570" cy="157480"/>
        </a:xfrm>
        <a:prstGeom prst="rect">
          <a:avLst/>
        </a:prstGeom>
        <a:noFill/>
        <a:ln w="9525">
          <a:noFill/>
        </a:ln>
      </xdr:spPr>
    </xdr:pic>
    <xdr:clientData/>
  </xdr:twoCellAnchor>
  <xdr:twoCellAnchor editAs="oneCell">
    <xdr:from>
      <xdr:col>22</xdr:col>
      <xdr:colOff>42545</xdr:colOff>
      <xdr:row>8</xdr:row>
      <xdr:rowOff>287020</xdr:rowOff>
    </xdr:from>
    <xdr:to>
      <xdr:col>23</xdr:col>
      <xdr:colOff>0</xdr:colOff>
      <xdr:row>8</xdr:row>
      <xdr:rowOff>411480</xdr:rowOff>
    </xdr:to>
    <xdr:pic>
      <xdr:nvPicPr>
        <xdr:cNvPr id="16" name="图片 15"/>
        <xdr:cNvPicPr>
          <a:picLocks noChangeAspect="1"/>
        </xdr:cNvPicPr>
      </xdr:nvPicPr>
      <xdr:blipFill>
        <a:blip r:embed="rId8"/>
        <a:stretch>
          <a:fillRect/>
        </a:stretch>
      </xdr:blipFill>
      <xdr:spPr>
        <a:xfrm flipH="1" flipV="1">
          <a:off x="23648035" y="3376295"/>
          <a:ext cx="1164590" cy="124460"/>
        </a:xfrm>
        <a:prstGeom prst="rect">
          <a:avLst/>
        </a:prstGeom>
        <a:noFill/>
        <a:ln w="9525">
          <a:noFill/>
        </a:ln>
      </xdr:spPr>
    </xdr:pic>
    <xdr:clientData/>
  </xdr:twoCellAnchor>
  <xdr:twoCellAnchor editAs="oneCell">
    <xdr:from>
      <xdr:col>22</xdr:col>
      <xdr:colOff>311150</xdr:colOff>
      <xdr:row>27</xdr:row>
      <xdr:rowOff>234950</xdr:rowOff>
    </xdr:from>
    <xdr:to>
      <xdr:col>22</xdr:col>
      <xdr:colOff>1064895</xdr:colOff>
      <xdr:row>27</xdr:row>
      <xdr:rowOff>311150</xdr:rowOff>
    </xdr:to>
    <xdr:pic>
      <xdr:nvPicPr>
        <xdr:cNvPr id="18" name="图片 17"/>
        <xdr:cNvPicPr>
          <a:picLocks noChangeAspect="1"/>
        </xdr:cNvPicPr>
      </xdr:nvPicPr>
      <xdr:blipFill>
        <a:blip r:embed="rId9"/>
        <a:stretch>
          <a:fillRect/>
        </a:stretch>
      </xdr:blipFill>
      <xdr:spPr>
        <a:xfrm>
          <a:off x="23916640" y="13382625"/>
          <a:ext cx="753745" cy="7620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100330</xdr:colOff>
      <xdr:row>3</xdr:row>
      <xdr:rowOff>114300</xdr:rowOff>
    </xdr:from>
    <xdr:to>
      <xdr:col>12</xdr:col>
      <xdr:colOff>624205</xdr:colOff>
      <xdr:row>3</xdr:row>
      <xdr:rowOff>445770</xdr:rowOff>
    </xdr:to>
    <xdr:pic>
      <xdr:nvPicPr>
        <xdr:cNvPr id="11" name="图片 10"/>
        <xdr:cNvPicPr>
          <a:picLocks noChangeAspect="1"/>
        </xdr:cNvPicPr>
      </xdr:nvPicPr>
      <xdr:blipFill>
        <a:blip r:embed="rId1"/>
        <a:stretch>
          <a:fillRect/>
        </a:stretch>
      </xdr:blipFill>
      <xdr:spPr>
        <a:xfrm>
          <a:off x="11038205" y="1219200"/>
          <a:ext cx="523875" cy="331470"/>
        </a:xfrm>
        <a:prstGeom prst="rect">
          <a:avLst/>
        </a:prstGeom>
        <a:noFill/>
        <a:ln w="9525">
          <a:noFill/>
        </a:ln>
      </xdr:spPr>
    </xdr:pic>
    <xdr:clientData/>
  </xdr:twoCellAnchor>
  <xdr:twoCellAnchor editAs="oneCell">
    <xdr:from>
      <xdr:col>10</xdr:col>
      <xdr:colOff>95250</xdr:colOff>
      <xdr:row>3</xdr:row>
      <xdr:rowOff>196850</xdr:rowOff>
    </xdr:from>
    <xdr:to>
      <xdr:col>10</xdr:col>
      <xdr:colOff>525145</xdr:colOff>
      <xdr:row>3</xdr:row>
      <xdr:rowOff>375285</xdr:rowOff>
    </xdr:to>
    <xdr:pic>
      <xdr:nvPicPr>
        <xdr:cNvPr id="12" name="图片 11"/>
        <xdr:cNvPicPr>
          <a:picLocks noChangeAspect="1"/>
        </xdr:cNvPicPr>
      </xdr:nvPicPr>
      <xdr:blipFill>
        <a:blip r:embed="rId2"/>
        <a:stretch>
          <a:fillRect/>
        </a:stretch>
      </xdr:blipFill>
      <xdr:spPr>
        <a:xfrm>
          <a:off x="9545955" y="1301750"/>
          <a:ext cx="429895" cy="178435"/>
        </a:xfrm>
        <a:prstGeom prst="rect">
          <a:avLst/>
        </a:prstGeom>
        <a:noFill/>
        <a:ln w="9525">
          <a:noFill/>
        </a:ln>
      </xdr:spPr>
    </xdr:pic>
    <xdr:clientData/>
  </xdr:twoCellAnchor>
  <xdr:twoCellAnchor editAs="oneCell">
    <xdr:from>
      <xdr:col>14</xdr:col>
      <xdr:colOff>75565</xdr:colOff>
      <xdr:row>3</xdr:row>
      <xdr:rowOff>185420</xdr:rowOff>
    </xdr:from>
    <xdr:to>
      <xdr:col>14</xdr:col>
      <xdr:colOff>628650</xdr:colOff>
      <xdr:row>3</xdr:row>
      <xdr:rowOff>488950</xdr:rowOff>
    </xdr:to>
    <xdr:pic>
      <xdr:nvPicPr>
        <xdr:cNvPr id="13" name="图片 12"/>
        <xdr:cNvPicPr>
          <a:picLocks noChangeAspect="1"/>
        </xdr:cNvPicPr>
      </xdr:nvPicPr>
      <xdr:blipFill>
        <a:blip r:embed="rId3"/>
        <a:stretch>
          <a:fillRect/>
        </a:stretch>
      </xdr:blipFill>
      <xdr:spPr>
        <a:xfrm>
          <a:off x="12500610" y="1290320"/>
          <a:ext cx="553085" cy="303530"/>
        </a:xfrm>
        <a:prstGeom prst="rect">
          <a:avLst/>
        </a:prstGeom>
        <a:noFill/>
        <a:ln w="9525">
          <a:noFill/>
        </a:ln>
      </xdr:spPr>
    </xdr:pic>
    <xdr:clientData/>
  </xdr:twoCellAnchor>
  <xdr:twoCellAnchor editAs="oneCell">
    <xdr:from>
      <xdr:col>10</xdr:col>
      <xdr:colOff>114300</xdr:colOff>
      <xdr:row>8</xdr:row>
      <xdr:rowOff>184150</xdr:rowOff>
    </xdr:from>
    <xdr:to>
      <xdr:col>11</xdr:col>
      <xdr:colOff>0</xdr:colOff>
      <xdr:row>8</xdr:row>
      <xdr:rowOff>443865</xdr:rowOff>
    </xdr:to>
    <xdr:pic>
      <xdr:nvPicPr>
        <xdr:cNvPr id="14" name="图片 13"/>
        <xdr:cNvPicPr>
          <a:picLocks noChangeAspect="1"/>
        </xdr:cNvPicPr>
      </xdr:nvPicPr>
      <xdr:blipFill>
        <a:blip r:embed="rId4"/>
        <a:stretch>
          <a:fillRect/>
        </a:stretch>
      </xdr:blipFill>
      <xdr:spPr>
        <a:xfrm>
          <a:off x="9565005" y="4083050"/>
          <a:ext cx="629285" cy="259715"/>
        </a:xfrm>
        <a:prstGeom prst="rect">
          <a:avLst/>
        </a:prstGeom>
        <a:noFill/>
        <a:ln w="9525">
          <a:noFill/>
        </a:ln>
      </xdr:spPr>
    </xdr:pic>
    <xdr:clientData/>
  </xdr:twoCellAnchor>
  <xdr:twoCellAnchor editAs="oneCell">
    <xdr:from>
      <xdr:col>12</xdr:col>
      <xdr:colOff>100965</xdr:colOff>
      <xdr:row>8</xdr:row>
      <xdr:rowOff>204470</xdr:rowOff>
    </xdr:from>
    <xdr:to>
      <xdr:col>12</xdr:col>
      <xdr:colOff>656590</xdr:colOff>
      <xdr:row>8</xdr:row>
      <xdr:rowOff>495300</xdr:rowOff>
    </xdr:to>
    <xdr:pic>
      <xdr:nvPicPr>
        <xdr:cNvPr id="15" name="图片 14"/>
        <xdr:cNvPicPr>
          <a:picLocks noChangeAspect="1"/>
        </xdr:cNvPicPr>
      </xdr:nvPicPr>
      <xdr:blipFill>
        <a:blip r:embed="rId5"/>
        <a:stretch>
          <a:fillRect/>
        </a:stretch>
      </xdr:blipFill>
      <xdr:spPr>
        <a:xfrm>
          <a:off x="11038840" y="4103370"/>
          <a:ext cx="555625" cy="290830"/>
        </a:xfrm>
        <a:prstGeom prst="rect">
          <a:avLst/>
        </a:prstGeom>
        <a:noFill/>
        <a:ln w="9525">
          <a:noFill/>
        </a:ln>
      </xdr:spPr>
    </xdr:pic>
    <xdr:clientData/>
  </xdr:twoCellAnchor>
  <xdr:twoCellAnchor editAs="oneCell">
    <xdr:from>
      <xdr:col>14</xdr:col>
      <xdr:colOff>99695</xdr:colOff>
      <xdr:row>8</xdr:row>
      <xdr:rowOff>195580</xdr:rowOff>
    </xdr:from>
    <xdr:to>
      <xdr:col>14</xdr:col>
      <xdr:colOff>511810</xdr:colOff>
      <xdr:row>8</xdr:row>
      <xdr:rowOff>475615</xdr:rowOff>
    </xdr:to>
    <xdr:pic>
      <xdr:nvPicPr>
        <xdr:cNvPr id="16" name="图片 15"/>
        <xdr:cNvPicPr>
          <a:picLocks noChangeAspect="1"/>
        </xdr:cNvPicPr>
      </xdr:nvPicPr>
      <xdr:blipFill>
        <a:blip r:embed="rId6"/>
        <a:stretch>
          <a:fillRect/>
        </a:stretch>
      </xdr:blipFill>
      <xdr:spPr>
        <a:xfrm>
          <a:off x="12524740" y="4094480"/>
          <a:ext cx="412115" cy="280035"/>
        </a:xfrm>
        <a:prstGeom prst="rect">
          <a:avLst/>
        </a:prstGeom>
        <a:noFill/>
        <a:ln w="9525">
          <a:noFill/>
        </a:ln>
      </xdr:spPr>
    </xdr:pic>
    <xdr:clientData/>
  </xdr:twoCellAnchor>
  <xdr:twoCellAnchor editAs="oneCell">
    <xdr:from>
      <xdr:col>10</xdr:col>
      <xdr:colOff>101600</xdr:colOff>
      <xdr:row>5</xdr:row>
      <xdr:rowOff>82550</xdr:rowOff>
    </xdr:from>
    <xdr:to>
      <xdr:col>10</xdr:col>
      <xdr:colOff>693420</xdr:colOff>
      <xdr:row>5</xdr:row>
      <xdr:rowOff>462915</xdr:rowOff>
    </xdr:to>
    <xdr:pic>
      <xdr:nvPicPr>
        <xdr:cNvPr id="17" name="图片 16"/>
        <xdr:cNvPicPr>
          <a:picLocks noChangeAspect="1"/>
        </xdr:cNvPicPr>
      </xdr:nvPicPr>
      <xdr:blipFill>
        <a:blip r:embed="rId7"/>
        <a:stretch>
          <a:fillRect/>
        </a:stretch>
      </xdr:blipFill>
      <xdr:spPr>
        <a:xfrm>
          <a:off x="9552305" y="2305050"/>
          <a:ext cx="591820" cy="380365"/>
        </a:xfrm>
        <a:prstGeom prst="rect">
          <a:avLst/>
        </a:prstGeom>
        <a:noFill/>
        <a:ln w="9525">
          <a:noFill/>
        </a:ln>
      </xdr:spPr>
    </xdr:pic>
    <xdr:clientData/>
  </xdr:twoCellAnchor>
  <xdr:twoCellAnchor editAs="oneCell">
    <xdr:from>
      <xdr:col>10</xdr:col>
      <xdr:colOff>88900</xdr:colOff>
      <xdr:row>4</xdr:row>
      <xdr:rowOff>165100</xdr:rowOff>
    </xdr:from>
    <xdr:to>
      <xdr:col>11</xdr:col>
      <xdr:colOff>0</xdr:colOff>
      <xdr:row>4</xdr:row>
      <xdr:rowOff>470535</xdr:rowOff>
    </xdr:to>
    <xdr:pic>
      <xdr:nvPicPr>
        <xdr:cNvPr id="19" name="图片 18"/>
        <xdr:cNvPicPr>
          <a:picLocks noChangeAspect="1"/>
        </xdr:cNvPicPr>
      </xdr:nvPicPr>
      <xdr:blipFill>
        <a:blip r:embed="rId8"/>
        <a:stretch>
          <a:fillRect/>
        </a:stretch>
      </xdr:blipFill>
      <xdr:spPr>
        <a:xfrm>
          <a:off x="9539605" y="1828800"/>
          <a:ext cx="654685" cy="305435"/>
        </a:xfrm>
        <a:prstGeom prst="rect">
          <a:avLst/>
        </a:prstGeom>
        <a:noFill/>
        <a:ln w="9525">
          <a:noFill/>
        </a:ln>
      </xdr:spPr>
    </xdr:pic>
    <xdr:clientData/>
  </xdr:twoCellAnchor>
  <xdr:twoCellAnchor editAs="oneCell">
    <xdr:from>
      <xdr:col>10</xdr:col>
      <xdr:colOff>44450</xdr:colOff>
      <xdr:row>7</xdr:row>
      <xdr:rowOff>69850</xdr:rowOff>
    </xdr:from>
    <xdr:to>
      <xdr:col>10</xdr:col>
      <xdr:colOff>601980</xdr:colOff>
      <xdr:row>7</xdr:row>
      <xdr:rowOff>468630</xdr:rowOff>
    </xdr:to>
    <xdr:pic>
      <xdr:nvPicPr>
        <xdr:cNvPr id="20" name="图片 19"/>
        <xdr:cNvPicPr>
          <a:picLocks noChangeAspect="1"/>
        </xdr:cNvPicPr>
      </xdr:nvPicPr>
      <xdr:blipFill>
        <a:blip r:embed="rId9"/>
        <a:stretch>
          <a:fillRect/>
        </a:stretch>
      </xdr:blipFill>
      <xdr:spPr>
        <a:xfrm>
          <a:off x="9495155" y="3409950"/>
          <a:ext cx="557530" cy="398780"/>
        </a:xfrm>
        <a:prstGeom prst="rect">
          <a:avLst/>
        </a:prstGeom>
        <a:noFill/>
        <a:ln w="9525">
          <a:noFill/>
        </a:ln>
      </xdr:spPr>
    </xdr:pic>
    <xdr:clientData/>
  </xdr:twoCellAnchor>
  <xdr:twoCellAnchor editAs="oneCell">
    <xdr:from>
      <xdr:col>12</xdr:col>
      <xdr:colOff>266700</xdr:colOff>
      <xdr:row>7</xdr:row>
      <xdr:rowOff>90805</xdr:rowOff>
    </xdr:from>
    <xdr:to>
      <xdr:col>12</xdr:col>
      <xdr:colOff>661670</xdr:colOff>
      <xdr:row>7</xdr:row>
      <xdr:rowOff>482600</xdr:rowOff>
    </xdr:to>
    <xdr:pic>
      <xdr:nvPicPr>
        <xdr:cNvPr id="21" name="图片 20"/>
        <xdr:cNvPicPr>
          <a:picLocks noChangeAspect="1"/>
        </xdr:cNvPicPr>
      </xdr:nvPicPr>
      <xdr:blipFill>
        <a:blip r:embed="rId10"/>
        <a:stretch>
          <a:fillRect/>
        </a:stretch>
      </xdr:blipFill>
      <xdr:spPr>
        <a:xfrm>
          <a:off x="11204575" y="3430905"/>
          <a:ext cx="394970" cy="391795"/>
        </a:xfrm>
        <a:prstGeom prst="rect">
          <a:avLst/>
        </a:prstGeom>
        <a:noFill/>
        <a:ln w="9525">
          <a:noFill/>
        </a:ln>
      </xdr:spPr>
    </xdr:pic>
    <xdr:clientData/>
  </xdr:twoCellAnchor>
  <xdr:twoCellAnchor editAs="oneCell">
    <xdr:from>
      <xdr:col>14</xdr:col>
      <xdr:colOff>190500</xdr:colOff>
      <xdr:row>7</xdr:row>
      <xdr:rowOff>95250</xdr:rowOff>
    </xdr:from>
    <xdr:to>
      <xdr:col>14</xdr:col>
      <xdr:colOff>620395</xdr:colOff>
      <xdr:row>7</xdr:row>
      <xdr:rowOff>469900</xdr:rowOff>
    </xdr:to>
    <xdr:pic>
      <xdr:nvPicPr>
        <xdr:cNvPr id="22" name="图片 21"/>
        <xdr:cNvPicPr>
          <a:picLocks noChangeAspect="1"/>
        </xdr:cNvPicPr>
      </xdr:nvPicPr>
      <xdr:blipFill>
        <a:blip r:embed="rId11"/>
        <a:stretch>
          <a:fillRect/>
        </a:stretch>
      </xdr:blipFill>
      <xdr:spPr>
        <a:xfrm>
          <a:off x="12615545" y="3435350"/>
          <a:ext cx="429895" cy="374650"/>
        </a:xfrm>
        <a:prstGeom prst="rect">
          <a:avLst/>
        </a:prstGeom>
        <a:noFill/>
        <a:ln w="9525">
          <a:noFill/>
        </a:ln>
      </xdr:spPr>
    </xdr:pic>
    <xdr:clientData/>
  </xdr:twoCellAnchor>
  <xdr:twoCellAnchor editAs="oneCell">
    <xdr:from>
      <xdr:col>12</xdr:col>
      <xdr:colOff>139700</xdr:colOff>
      <xdr:row>4</xdr:row>
      <xdr:rowOff>192405</xdr:rowOff>
    </xdr:from>
    <xdr:to>
      <xdr:col>12</xdr:col>
      <xdr:colOff>675640</xdr:colOff>
      <xdr:row>4</xdr:row>
      <xdr:rowOff>470535</xdr:rowOff>
    </xdr:to>
    <xdr:pic>
      <xdr:nvPicPr>
        <xdr:cNvPr id="23" name="图片 22"/>
        <xdr:cNvPicPr>
          <a:picLocks noChangeAspect="1"/>
        </xdr:cNvPicPr>
      </xdr:nvPicPr>
      <xdr:blipFill>
        <a:blip r:embed="rId12"/>
        <a:stretch>
          <a:fillRect/>
        </a:stretch>
      </xdr:blipFill>
      <xdr:spPr>
        <a:xfrm>
          <a:off x="11077575" y="1856105"/>
          <a:ext cx="535940" cy="278130"/>
        </a:xfrm>
        <a:prstGeom prst="rect">
          <a:avLst/>
        </a:prstGeom>
        <a:noFill/>
        <a:ln w="9525">
          <a:noFill/>
        </a:ln>
      </xdr:spPr>
    </xdr:pic>
    <xdr:clientData/>
  </xdr:twoCellAnchor>
  <xdr:twoCellAnchor editAs="oneCell">
    <xdr:from>
      <xdr:col>12</xdr:col>
      <xdr:colOff>50800</xdr:colOff>
      <xdr:row>5</xdr:row>
      <xdr:rowOff>102870</xdr:rowOff>
    </xdr:from>
    <xdr:to>
      <xdr:col>13</xdr:col>
      <xdr:colOff>0</xdr:colOff>
      <xdr:row>5</xdr:row>
      <xdr:rowOff>533400</xdr:rowOff>
    </xdr:to>
    <xdr:pic>
      <xdr:nvPicPr>
        <xdr:cNvPr id="24" name="图片 23"/>
        <xdr:cNvPicPr>
          <a:picLocks noChangeAspect="1"/>
        </xdr:cNvPicPr>
      </xdr:nvPicPr>
      <xdr:blipFill>
        <a:blip r:embed="rId13"/>
        <a:stretch>
          <a:fillRect/>
        </a:stretch>
      </xdr:blipFill>
      <xdr:spPr>
        <a:xfrm>
          <a:off x="10988675" y="2325370"/>
          <a:ext cx="692785" cy="430530"/>
        </a:xfrm>
        <a:prstGeom prst="rect">
          <a:avLst/>
        </a:prstGeom>
        <a:noFill/>
        <a:ln w="9525">
          <a:noFill/>
        </a:ln>
      </xdr:spPr>
    </xdr:pic>
    <xdr:clientData/>
  </xdr:twoCellAnchor>
  <xdr:twoCellAnchor editAs="oneCell">
    <xdr:from>
      <xdr:col>14</xdr:col>
      <xdr:colOff>120015</xdr:colOff>
      <xdr:row>5</xdr:row>
      <xdr:rowOff>87630</xdr:rowOff>
    </xdr:from>
    <xdr:to>
      <xdr:col>14</xdr:col>
      <xdr:colOff>615950</xdr:colOff>
      <xdr:row>5</xdr:row>
      <xdr:rowOff>514350</xdr:rowOff>
    </xdr:to>
    <xdr:pic>
      <xdr:nvPicPr>
        <xdr:cNvPr id="25" name="图片 24"/>
        <xdr:cNvPicPr>
          <a:picLocks noChangeAspect="1"/>
        </xdr:cNvPicPr>
      </xdr:nvPicPr>
      <xdr:blipFill>
        <a:blip r:embed="rId14"/>
        <a:stretch>
          <a:fillRect/>
        </a:stretch>
      </xdr:blipFill>
      <xdr:spPr>
        <a:xfrm>
          <a:off x="12545060" y="2310130"/>
          <a:ext cx="495935" cy="426720"/>
        </a:xfrm>
        <a:prstGeom prst="rect">
          <a:avLst/>
        </a:prstGeom>
        <a:noFill/>
        <a:ln w="9525">
          <a:noFill/>
        </a:ln>
      </xdr:spPr>
    </xdr:pic>
    <xdr:clientData/>
  </xdr:twoCellAnchor>
  <xdr:twoCellAnchor editAs="oneCell">
    <xdr:from>
      <xdr:col>14</xdr:col>
      <xdr:colOff>107950</xdr:colOff>
      <xdr:row>4</xdr:row>
      <xdr:rowOff>127000</xdr:rowOff>
    </xdr:from>
    <xdr:to>
      <xdr:col>14</xdr:col>
      <xdr:colOff>640080</xdr:colOff>
      <xdr:row>4</xdr:row>
      <xdr:rowOff>469900</xdr:rowOff>
    </xdr:to>
    <xdr:pic>
      <xdr:nvPicPr>
        <xdr:cNvPr id="26" name="图片 25"/>
        <xdr:cNvPicPr>
          <a:picLocks noChangeAspect="1"/>
        </xdr:cNvPicPr>
      </xdr:nvPicPr>
      <xdr:blipFill>
        <a:blip r:embed="rId15"/>
        <a:stretch>
          <a:fillRect/>
        </a:stretch>
      </xdr:blipFill>
      <xdr:spPr>
        <a:xfrm>
          <a:off x="12532995" y="1790700"/>
          <a:ext cx="532130" cy="34290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view="pageBreakPreview" zoomScaleNormal="100" workbookViewId="0">
      <selection activeCell="C28" sqref="C28"/>
    </sheetView>
  </sheetViews>
  <sheetFormatPr defaultColWidth="9" defaultRowHeight="15.6" outlineLevelCol="6"/>
  <cols>
    <col min="1" max="1" width="6.875" style="155" customWidth="1"/>
    <col min="2" max="2" width="19.1354166666667" style="155" customWidth="1"/>
    <col min="3" max="3" width="28.5" style="155" customWidth="1"/>
    <col min="4" max="4" width="26.375" style="155" customWidth="1"/>
    <col min="5" max="6" width="23.7604166666667" style="155" customWidth="1"/>
    <col min="7" max="7" width="20.7604166666667" style="155" customWidth="1"/>
    <col min="8" max="16384" width="9" style="155"/>
  </cols>
  <sheetData>
    <row r="1" s="155" customFormat="1" ht="54" customHeight="1" spans="1:7">
      <c r="A1" s="156" t="s">
        <v>0</v>
      </c>
      <c r="B1" s="157"/>
      <c r="C1" s="157"/>
      <c r="D1" s="158"/>
      <c r="E1" s="157"/>
      <c r="F1" s="157"/>
      <c r="G1" s="157"/>
    </row>
    <row r="2" s="155" customFormat="1" ht="52" customHeight="1" spans="1:7">
      <c r="A2" s="159" t="s">
        <v>1</v>
      </c>
      <c r="B2" s="159" t="s">
        <v>2</v>
      </c>
      <c r="C2" s="159" t="s">
        <v>3</v>
      </c>
      <c r="D2" s="160" t="s">
        <v>4</v>
      </c>
      <c r="E2" s="161" t="s">
        <v>5</v>
      </c>
      <c r="F2" s="161" t="s">
        <v>6</v>
      </c>
      <c r="G2" s="159" t="s">
        <v>7</v>
      </c>
    </row>
    <row r="3" s="155" customFormat="1" ht="52" customHeight="1" spans="1:7">
      <c r="A3" s="162">
        <v>1</v>
      </c>
      <c r="B3" s="152" t="s">
        <v>8</v>
      </c>
      <c r="C3" s="163">
        <v>602106.67</v>
      </c>
      <c r="D3" s="163">
        <v>602106.67</v>
      </c>
      <c r="E3" s="164"/>
      <c r="F3" s="164"/>
      <c r="G3" s="164"/>
    </row>
    <row r="4" s="155" customFormat="1" ht="52" customHeight="1" spans="1:7">
      <c r="A4" s="165" t="s">
        <v>9</v>
      </c>
      <c r="B4" s="166"/>
      <c r="C4" s="167"/>
      <c r="D4" s="168" t="s">
        <v>10</v>
      </c>
      <c r="E4" s="169">
        <f>F3</f>
        <v>0</v>
      </c>
      <c r="F4" s="170"/>
      <c r="G4" s="171"/>
    </row>
    <row r="5" s="155" customFormat="1" ht="52" customHeight="1" spans="1:7">
      <c r="A5" s="172"/>
      <c r="B5" s="173"/>
      <c r="C5" s="174"/>
      <c r="D5" s="168" t="s">
        <v>11</v>
      </c>
      <c r="E5" s="169" t="str">
        <f>IF(E4&lt;0,"负","")&amp;IF(TRUNC(E4)=E4,TEXT(IF(E4&lt;0,-E4,E4),"[DBNum2]")&amp;"元整",IF(TRUNC(E4*10)=E4*10,TEXT(TRUNC(IF(E4&lt;0,-E4,E4)),"[DBNum2]")&amp;"元"&amp;TEXT(RIGHT(E4),"[DBNum2]")&amp;"角整",TEXT(TRUNC(E4),"[DBNum2]")&amp;"元"&amp;IF(ISNUMBER(FIND(".0",E4)),"零",TEXT(LEFT(RIGHT(E4,2)),"[DBNum2]")&amp;"角")&amp;TEXT(RIGHT(E4),"[DBNum2]")&amp;"分"))</f>
        <v>零元整</v>
      </c>
      <c r="F5" s="170"/>
      <c r="G5" s="171"/>
    </row>
    <row r="7" customFormat="1" ht="63" customHeight="1" spans="4:4">
      <c r="D7" s="155"/>
    </row>
    <row r="8" customFormat="1" ht="63" customHeight="1" spans="4:4">
      <c r="D8" s="155"/>
    </row>
    <row r="9" s="155" customFormat="1" spans="4:4">
      <c r="D9" s="175"/>
    </row>
    <row r="10" s="155" customFormat="1" spans="4:4">
      <c r="D10" s="175"/>
    </row>
  </sheetData>
  <mergeCells count="4">
    <mergeCell ref="A1:G1"/>
    <mergeCell ref="E4:G4"/>
    <mergeCell ref="E5:G5"/>
    <mergeCell ref="A4:C5"/>
  </mergeCells>
  <pageMargins left="0.75" right="0.75" top="1" bottom="1" header="0.5" footer="0.5"/>
  <pageSetup paperSize="9" scale="64"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view="pageBreakPreview" zoomScaleNormal="100" workbookViewId="0">
      <selection activeCell="A6" sqref="A6"/>
    </sheetView>
  </sheetViews>
  <sheetFormatPr defaultColWidth="11" defaultRowHeight="33" customHeight="1"/>
  <cols>
    <col min="1" max="1" width="120" style="150" customWidth="1"/>
    <col min="2" max="32" width="11.2604166666667" style="149"/>
    <col min="33" max="16384" width="11" style="149"/>
  </cols>
  <sheetData>
    <row r="1" s="149" customFormat="1" ht="43" customHeight="1" spans="1:1">
      <c r="A1" s="151" t="s">
        <v>12</v>
      </c>
    </row>
    <row r="2" s="149" customFormat="1" ht="44" customHeight="1" spans="1:1">
      <c r="A2" s="152" t="s">
        <v>13</v>
      </c>
    </row>
    <row r="3" s="149" customFormat="1" ht="132" customHeight="1" spans="1:1">
      <c r="A3" s="153" t="s">
        <v>14</v>
      </c>
    </row>
    <row r="4" s="149" customFormat="1" ht="42" customHeight="1" spans="1:1">
      <c r="A4" s="152" t="s">
        <v>15</v>
      </c>
    </row>
    <row r="5" s="149" customFormat="1" ht="42" customHeight="1" spans="1:1">
      <c r="A5" s="152" t="s">
        <v>16</v>
      </c>
    </row>
    <row r="6" s="149" customFormat="1" ht="42" customHeight="1" spans="1:1">
      <c r="A6" s="152" t="s">
        <v>17</v>
      </c>
    </row>
    <row r="7" s="149" customFormat="1" customHeight="1" spans="1:10">
      <c r="A7" s="154"/>
      <c r="B7" s="154"/>
      <c r="C7" s="154"/>
      <c r="D7" s="154"/>
      <c r="E7" s="154"/>
      <c r="F7" s="154"/>
      <c r="G7" s="154"/>
      <c r="H7" s="154"/>
      <c r="I7" s="154"/>
      <c r="J7" s="154"/>
    </row>
    <row r="8" s="149" customFormat="1" customHeight="1" spans="1:1">
      <c r="A8" s="150"/>
    </row>
    <row r="9" s="149" customFormat="1" customHeight="1"/>
  </sheetData>
  <mergeCells count="1">
    <mergeCell ref="A7:J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5"/>
  <sheetViews>
    <sheetView showGridLines="0" tabSelected="1" view="pageBreakPreview" zoomScale="115" zoomScaleNormal="100" workbookViewId="0">
      <pane xSplit="3" ySplit="3" topLeftCell="D4" activePane="bottomRight" state="frozen"/>
      <selection/>
      <selection pane="topRight"/>
      <selection pane="bottomLeft"/>
      <selection pane="bottomRight" activeCell="M5" sqref="M5"/>
    </sheetView>
  </sheetViews>
  <sheetFormatPr defaultColWidth="9" defaultRowHeight="10.8"/>
  <cols>
    <col min="1" max="1" width="7.66666666666667" style="121" customWidth="1"/>
    <col min="2" max="2" width="30.875" style="122" customWidth="1"/>
    <col min="3" max="3" width="44.625" style="123" customWidth="1"/>
    <col min="4" max="4" width="8.82291666666667" style="123" customWidth="1"/>
    <col min="5" max="5" width="17.1979166666667" style="124" customWidth="1"/>
    <col min="6" max="6" width="17.3541666666667" style="125" customWidth="1"/>
    <col min="7" max="9" width="17.3541666666667" style="125" customWidth="1" outlineLevel="1"/>
    <col min="10" max="10" width="17.3541666666667" style="125" customWidth="1"/>
    <col min="11" max="11" width="14.4479166666667" style="121" customWidth="1"/>
    <col min="12" max="12" width="9.69791666666667" style="123"/>
    <col min="13" max="16384" width="9" style="121"/>
  </cols>
  <sheetData>
    <row r="1" ht="39" customHeight="1" spans="1:11">
      <c r="A1" s="126" t="s">
        <v>18</v>
      </c>
      <c r="B1" s="126"/>
      <c r="C1" s="127"/>
      <c r="D1" s="127"/>
      <c r="E1" s="128"/>
      <c r="F1" s="128"/>
      <c r="G1" s="128"/>
      <c r="H1" s="128"/>
      <c r="I1" s="128"/>
      <c r="J1" s="128"/>
      <c r="K1" s="126"/>
    </row>
    <row r="2" ht="15.6" spans="1:11">
      <c r="A2" s="129" t="s">
        <v>1</v>
      </c>
      <c r="B2" s="129" t="s">
        <v>19</v>
      </c>
      <c r="C2" s="129" t="s">
        <v>20</v>
      </c>
      <c r="D2" s="129" t="s">
        <v>21</v>
      </c>
      <c r="E2" s="130" t="s">
        <v>22</v>
      </c>
      <c r="F2" s="130" t="s">
        <v>23</v>
      </c>
      <c r="G2" s="131" t="s">
        <v>24</v>
      </c>
      <c r="H2" s="132"/>
      <c r="I2" s="132"/>
      <c r="J2" s="130" t="s">
        <v>25</v>
      </c>
      <c r="K2" s="130" t="s">
        <v>7</v>
      </c>
    </row>
    <row r="3" customFormat="1" ht="24" spans="1:12">
      <c r="A3" s="133"/>
      <c r="B3" s="133"/>
      <c r="C3" s="133"/>
      <c r="D3" s="133"/>
      <c r="E3" s="134"/>
      <c r="F3" s="134"/>
      <c r="G3" s="135" t="s">
        <v>26</v>
      </c>
      <c r="H3" s="135" t="s">
        <v>27</v>
      </c>
      <c r="I3" s="135" t="s">
        <v>28</v>
      </c>
      <c r="J3" s="134"/>
      <c r="K3" s="134"/>
      <c r="L3" s="123"/>
    </row>
    <row r="4" s="119" customFormat="1" ht="89" customHeight="1" spans="1:12">
      <c r="A4" s="136">
        <v>1</v>
      </c>
      <c r="B4" s="137" t="s">
        <v>29</v>
      </c>
      <c r="C4" s="138" t="s">
        <v>30</v>
      </c>
      <c r="D4" s="139" t="s">
        <v>31</v>
      </c>
      <c r="E4" s="81">
        <v>4002.61</v>
      </c>
      <c r="F4" s="81">
        <f>G4+H4+I4</f>
        <v>0</v>
      </c>
      <c r="G4" s="140"/>
      <c r="H4" s="140"/>
      <c r="I4" s="140"/>
      <c r="J4" s="139">
        <f>+F4*E4</f>
        <v>0</v>
      </c>
      <c r="K4" s="147"/>
      <c r="L4" s="123"/>
    </row>
    <row r="5" s="119" customFormat="1" ht="89" customHeight="1" spans="1:12">
      <c r="A5" s="136">
        <v>2</v>
      </c>
      <c r="B5" s="137" t="s">
        <v>29</v>
      </c>
      <c r="C5" s="138" t="s">
        <v>32</v>
      </c>
      <c r="D5" s="139" t="s">
        <v>31</v>
      </c>
      <c r="E5" s="81">
        <v>5877.32</v>
      </c>
      <c r="F5" s="81">
        <f>G5+H5+I5</f>
        <v>0</v>
      </c>
      <c r="G5" s="140"/>
      <c r="H5" s="140"/>
      <c r="I5" s="140"/>
      <c r="J5" s="139">
        <f>+F5*E5</f>
        <v>0</v>
      </c>
      <c r="K5" s="147"/>
      <c r="L5" s="123"/>
    </row>
    <row r="6" s="119" customFormat="1" ht="97" customHeight="1" spans="1:12">
      <c r="A6" s="136">
        <v>3</v>
      </c>
      <c r="B6" s="137" t="s">
        <v>33</v>
      </c>
      <c r="C6" s="138" t="s">
        <v>34</v>
      </c>
      <c r="D6" s="139" t="s">
        <v>31</v>
      </c>
      <c r="E6" s="81">
        <v>224.44</v>
      </c>
      <c r="F6" s="81">
        <f>G6+H6+I6</f>
        <v>0</v>
      </c>
      <c r="G6" s="140"/>
      <c r="H6" s="140"/>
      <c r="I6" s="140"/>
      <c r="J6" s="139">
        <f>+F6*E6</f>
        <v>0</v>
      </c>
      <c r="K6" s="147"/>
      <c r="L6" s="123"/>
    </row>
    <row r="7" s="119" customFormat="1" ht="107" customHeight="1" spans="1:12">
      <c r="A7" s="136">
        <v>4</v>
      </c>
      <c r="B7" s="137" t="s">
        <v>35</v>
      </c>
      <c r="C7" s="138" t="s">
        <v>36</v>
      </c>
      <c r="D7" s="139" t="s">
        <v>31</v>
      </c>
      <c r="E7" s="81">
        <v>811.14</v>
      </c>
      <c r="F7" s="81">
        <f>G7+H7+I7</f>
        <v>0</v>
      </c>
      <c r="G7" s="140"/>
      <c r="H7" s="140"/>
      <c r="I7" s="140"/>
      <c r="J7" s="139">
        <f>+F7*E7</f>
        <v>0</v>
      </c>
      <c r="K7" s="147"/>
      <c r="L7" s="123"/>
    </row>
    <row r="8" s="120" customFormat="1" ht="18" customHeight="1" spans="1:12">
      <c r="A8" s="141" t="s">
        <v>37</v>
      </c>
      <c r="B8" s="141"/>
      <c r="C8" s="142"/>
      <c r="D8" s="142"/>
      <c r="E8" s="135"/>
      <c r="F8" s="135"/>
      <c r="G8" s="135"/>
      <c r="H8" s="135"/>
      <c r="I8" s="135"/>
      <c r="J8" s="135">
        <f>SUM(J4:J7)</f>
        <v>0</v>
      </c>
      <c r="K8" s="148"/>
      <c r="L8" s="123"/>
    </row>
    <row r="9" ht="18" customHeight="1" spans="1:11">
      <c r="A9" s="141" t="s">
        <v>38</v>
      </c>
      <c r="B9" s="141"/>
      <c r="C9" s="142"/>
      <c r="D9" s="142"/>
      <c r="E9" s="135"/>
      <c r="F9" s="135"/>
      <c r="G9" s="135"/>
      <c r="H9" s="135"/>
      <c r="I9" s="135"/>
      <c r="J9" s="135">
        <f>J8*0.09</f>
        <v>0</v>
      </c>
      <c r="K9" s="148"/>
    </row>
    <row r="10" ht="18" customHeight="1" spans="1:11">
      <c r="A10" s="141" t="s">
        <v>39</v>
      </c>
      <c r="B10" s="141"/>
      <c r="C10" s="142"/>
      <c r="D10" s="142"/>
      <c r="E10" s="135"/>
      <c r="F10" s="135"/>
      <c r="G10" s="135"/>
      <c r="H10" s="135"/>
      <c r="I10" s="135"/>
      <c r="J10" s="135">
        <f>+J9+J8</f>
        <v>0</v>
      </c>
      <c r="K10" s="148"/>
    </row>
    <row r="11" ht="77" customHeight="1" spans="1:11">
      <c r="A11" s="143" t="s">
        <v>40</v>
      </c>
      <c r="B11" s="144"/>
      <c r="C11" s="144"/>
      <c r="D11" s="144"/>
      <c r="E11" s="144"/>
      <c r="F11" s="144"/>
      <c r="G11" s="144"/>
      <c r="H11" s="144"/>
      <c r="I11" s="144"/>
      <c r="J11" s="144"/>
      <c r="K11" s="144"/>
    </row>
    <row r="12" spans="1:11">
      <c r="A12" s="145"/>
      <c r="B12" s="146"/>
      <c r="C12" s="146"/>
      <c r="D12" s="146"/>
      <c r="E12" s="146"/>
      <c r="F12" s="146"/>
      <c r="G12" s="146"/>
      <c r="H12" s="146"/>
      <c r="I12" s="146"/>
      <c r="J12" s="146"/>
      <c r="K12" s="146"/>
    </row>
    <row r="13" spans="1:11">
      <c r="A13" s="146"/>
      <c r="B13" s="146"/>
      <c r="C13" s="146"/>
      <c r="D13" s="146"/>
      <c r="E13" s="146"/>
      <c r="F13" s="146"/>
      <c r="G13" s="146"/>
      <c r="H13" s="146"/>
      <c r="I13" s="146"/>
      <c r="J13" s="146"/>
      <c r="K13" s="146"/>
    </row>
    <row r="14" spans="1:11">
      <c r="A14" s="146"/>
      <c r="B14" s="146"/>
      <c r="C14" s="146"/>
      <c r="D14" s="146"/>
      <c r="E14" s="146"/>
      <c r="F14" s="146"/>
      <c r="G14" s="146"/>
      <c r="H14" s="146"/>
      <c r="I14" s="146"/>
      <c r="J14" s="146"/>
      <c r="K14" s="146"/>
    </row>
    <row r="15" ht="76" customHeight="1" spans="1:11">
      <c r="A15" s="146"/>
      <c r="B15" s="146"/>
      <c r="C15" s="146"/>
      <c r="D15" s="146"/>
      <c r="E15" s="146"/>
      <c r="F15" s="146"/>
      <c r="G15" s="146"/>
      <c r="H15" s="146"/>
      <c r="I15" s="146"/>
      <c r="J15" s="146"/>
      <c r="K15" s="146"/>
    </row>
  </sheetData>
  <autoFilter ref="A2:L11">
    <extLst/>
  </autoFilter>
  <mergeCells count="15">
    <mergeCell ref="A1:K1"/>
    <mergeCell ref="G2:I2"/>
    <mergeCell ref="A8:F8"/>
    <mergeCell ref="A9:F9"/>
    <mergeCell ref="A10:F10"/>
    <mergeCell ref="A11:K11"/>
    <mergeCell ref="A2:A3"/>
    <mergeCell ref="B2:B3"/>
    <mergeCell ref="C2:C3"/>
    <mergeCell ref="D2:D3"/>
    <mergeCell ref="E2:E3"/>
    <mergeCell ref="F2:F3"/>
    <mergeCell ref="J2:J3"/>
    <mergeCell ref="K2:K3"/>
    <mergeCell ref="A12:K15"/>
  </mergeCells>
  <printOptions horizontalCentered="1"/>
  <pageMargins left="0.116416666666667" right="0.116416666666667" top="1.55208333333333" bottom="0.59375" header="0.59375" footer="0"/>
  <pageSetup paperSize="9" scale="53" orientation="portrait"/>
  <headerFooter>
    <oddHeader>&amp;L&amp;20
&amp;"宋体,常规"&amp;10 工程名称：地上部分简装工程&amp;C&amp;"宋体,加粗"&amp;20 分部分项工程和单价措施项目清单与计价表
&amp;"宋体,常规"&amp;10 标段：&amp;R&amp;20
&amp;"宋体,常规"&amp;10 第 &amp;P 页  共 &amp;N 页</oddHeader>
    <oddFooter>&amp;L&amp;9
&amp;9&amp;C&amp;"宋体,常规"&amp;9 注：为计取规费等的使用，可在表中增设其中：“定额人工费”。
&amp;9&amp;R&amp;9
&amp;"宋体,常规"&amp;9 表—08</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showGridLines="0" topLeftCell="C11" workbookViewId="0">
      <selection activeCell="D16" sqref="D16"/>
    </sheetView>
  </sheetViews>
  <sheetFormatPr defaultColWidth="9" defaultRowHeight="11.4"/>
  <cols>
    <col min="1" max="1" width="7.66666666666667" customWidth="1"/>
    <col min="2" max="2" width="18.375" hidden="1" customWidth="1"/>
    <col min="3" max="3" width="13.625" customWidth="1"/>
    <col min="4" max="4" width="41.125" customWidth="1"/>
    <col min="5" max="5" width="5.66666666666667" hidden="1" customWidth="1" outlineLevel="1"/>
    <col min="6" max="7" width="9.83333333333333" hidden="1" customWidth="1" outlineLevel="1"/>
    <col min="8" max="8" width="9.83333333333333" customWidth="1" collapsed="1"/>
    <col min="9" max="10" width="10.5" customWidth="1"/>
    <col min="11" max="11" width="9" customWidth="1"/>
  </cols>
  <sheetData>
    <row r="1" ht="31" customHeight="1" spans="1:11">
      <c r="A1" s="101"/>
      <c r="B1" s="101"/>
      <c r="C1" s="101"/>
      <c r="D1" s="101"/>
      <c r="E1" s="101"/>
      <c r="F1" s="101"/>
      <c r="G1" s="101"/>
      <c r="H1" s="101"/>
      <c r="I1" s="101"/>
      <c r="J1" s="101"/>
      <c r="K1" s="101"/>
    </row>
    <row r="2" ht="17.25" customHeight="1" spans="1:11">
      <c r="A2" s="102" t="s">
        <v>1</v>
      </c>
      <c r="B2" s="103" t="s">
        <v>41</v>
      </c>
      <c r="C2" s="103" t="s">
        <v>42</v>
      </c>
      <c r="D2" s="103" t="s">
        <v>20</v>
      </c>
      <c r="E2" s="103" t="s">
        <v>43</v>
      </c>
      <c r="F2" s="103" t="s">
        <v>44</v>
      </c>
      <c r="G2" s="104" t="s">
        <v>45</v>
      </c>
      <c r="H2" s="104" t="s">
        <v>46</v>
      </c>
      <c r="I2" s="103" t="s">
        <v>47</v>
      </c>
      <c r="J2" s="103"/>
      <c r="K2" s="112"/>
    </row>
    <row r="3" ht="17.25" customHeight="1" spans="1:11">
      <c r="A3" s="105"/>
      <c r="B3" s="60"/>
      <c r="C3" s="60"/>
      <c r="D3" s="60"/>
      <c r="E3" s="60"/>
      <c r="F3" s="60"/>
      <c r="G3" s="106"/>
      <c r="H3" s="106"/>
      <c r="I3" s="60" t="s">
        <v>48</v>
      </c>
      <c r="J3" s="60" t="s">
        <v>49</v>
      </c>
      <c r="K3" s="113" t="s">
        <v>50</v>
      </c>
    </row>
    <row r="4" ht="17.25" customHeight="1" spans="1:11">
      <c r="A4" s="105"/>
      <c r="B4" s="60"/>
      <c r="C4" s="60"/>
      <c r="D4" s="60"/>
      <c r="E4" s="60"/>
      <c r="F4" s="60"/>
      <c r="G4" s="107"/>
      <c r="H4" s="107"/>
      <c r="I4" s="60"/>
      <c r="J4" s="60"/>
      <c r="K4" s="113" t="s">
        <v>51</v>
      </c>
    </row>
    <row r="5" ht="28.5" customHeight="1" spans="1:11">
      <c r="A5" s="105"/>
      <c r="B5" s="64"/>
      <c r="C5" s="63" t="s">
        <v>52</v>
      </c>
      <c r="D5" s="64"/>
      <c r="E5" s="64"/>
      <c r="F5" s="78"/>
      <c r="G5" s="78"/>
      <c r="H5" s="78"/>
      <c r="I5" s="78"/>
      <c r="J5" s="78"/>
      <c r="K5" s="114"/>
    </row>
    <row r="6" ht="54" customHeight="1" spans="1:11">
      <c r="A6" s="105">
        <v>1</v>
      </c>
      <c r="B6" s="64" t="s">
        <v>53</v>
      </c>
      <c r="C6" s="64" t="s">
        <v>54</v>
      </c>
      <c r="D6" s="64" t="s">
        <v>55</v>
      </c>
      <c r="E6" s="60" t="s">
        <v>31</v>
      </c>
      <c r="F6" s="78">
        <f>11791.07+13932.82</f>
        <v>25723.89</v>
      </c>
      <c r="G6" s="78">
        <f t="shared" ref="G6:G9" si="0">45/100</f>
        <v>0.45</v>
      </c>
      <c r="H6" s="78">
        <f t="shared" ref="H6:H9" si="1">(F6*G6)</f>
        <v>11575.7505</v>
      </c>
      <c r="I6" s="115"/>
      <c r="J6" s="115"/>
      <c r="K6" s="116"/>
    </row>
    <row r="7" ht="54" customHeight="1" spans="1:11">
      <c r="A7" s="105">
        <v>2</v>
      </c>
      <c r="B7" s="64" t="s">
        <v>56</v>
      </c>
      <c r="C7" s="64" t="s">
        <v>54</v>
      </c>
      <c r="D7" s="64" t="s">
        <v>57</v>
      </c>
      <c r="E7" s="60" t="s">
        <v>31</v>
      </c>
      <c r="F7" s="78">
        <v>437.28</v>
      </c>
      <c r="G7" s="78">
        <f t="shared" si="0"/>
        <v>0.45</v>
      </c>
      <c r="H7" s="78">
        <f t="shared" si="1"/>
        <v>196.776</v>
      </c>
      <c r="I7" s="115"/>
      <c r="J7" s="115"/>
      <c r="K7" s="116"/>
    </row>
    <row r="8" s="1" customFormat="1" ht="41.25" customHeight="1" spans="1:11">
      <c r="A8" s="105">
        <v>3</v>
      </c>
      <c r="B8" s="64" t="s">
        <v>58</v>
      </c>
      <c r="C8" s="64" t="s">
        <v>59</v>
      </c>
      <c r="D8" s="64" t="s">
        <v>60</v>
      </c>
      <c r="E8" s="60" t="s">
        <v>31</v>
      </c>
      <c r="F8" s="78">
        <v>1680.71</v>
      </c>
      <c r="G8" s="78">
        <f t="shared" si="0"/>
        <v>0.45</v>
      </c>
      <c r="H8" s="78">
        <f t="shared" si="1"/>
        <v>756.3195</v>
      </c>
      <c r="I8" s="115"/>
      <c r="J8" s="115"/>
      <c r="K8" s="116"/>
    </row>
    <row r="9" s="1" customFormat="1" ht="41.25" customHeight="1" spans="1:11">
      <c r="A9" s="105">
        <v>4</v>
      </c>
      <c r="B9" s="64" t="s">
        <v>61</v>
      </c>
      <c r="C9" s="64" t="s">
        <v>54</v>
      </c>
      <c r="D9" s="64" t="s">
        <v>62</v>
      </c>
      <c r="E9" s="60" t="s">
        <v>31</v>
      </c>
      <c r="F9" s="78">
        <v>456.73</v>
      </c>
      <c r="G9" s="78">
        <f t="shared" si="0"/>
        <v>0.45</v>
      </c>
      <c r="H9" s="78">
        <f t="shared" si="1"/>
        <v>205.5285</v>
      </c>
      <c r="I9" s="115"/>
      <c r="J9" s="115"/>
      <c r="K9" s="116"/>
    </row>
    <row r="10" ht="28.5" customHeight="1" spans="1:11">
      <c r="A10" s="105"/>
      <c r="B10" s="64"/>
      <c r="C10" s="63" t="s">
        <v>63</v>
      </c>
      <c r="D10" s="64"/>
      <c r="E10" s="64"/>
      <c r="F10" s="78"/>
      <c r="G10" s="78"/>
      <c r="H10" s="78"/>
      <c r="I10" s="78"/>
      <c r="J10" s="78"/>
      <c r="K10" s="114"/>
    </row>
    <row r="11" ht="54" customHeight="1" spans="1:11">
      <c r="A11" s="105">
        <v>5</v>
      </c>
      <c r="B11" s="64" t="s">
        <v>64</v>
      </c>
      <c r="C11" s="64" t="s">
        <v>54</v>
      </c>
      <c r="D11" s="64" t="s">
        <v>65</v>
      </c>
      <c r="E11" s="60" t="s">
        <v>31</v>
      </c>
      <c r="F11" s="78">
        <v>6521.9</v>
      </c>
      <c r="G11" s="78">
        <f t="shared" ref="G11:G15" si="2">47.185/100</f>
        <v>0.47185</v>
      </c>
      <c r="H11" s="78">
        <f t="shared" ref="H11:H15" si="3">(F11*G11)</f>
        <v>3077.358515</v>
      </c>
      <c r="I11" s="115"/>
      <c r="J11" s="115"/>
      <c r="K11" s="116"/>
    </row>
    <row r="12" s="1" customFormat="1" ht="54" customHeight="1" spans="1:11">
      <c r="A12" s="105">
        <v>6</v>
      </c>
      <c r="B12" s="64" t="s">
        <v>66</v>
      </c>
      <c r="C12" s="64" t="s">
        <v>54</v>
      </c>
      <c r="D12" s="64" t="s">
        <v>67</v>
      </c>
      <c r="E12" s="60" t="s">
        <v>31</v>
      </c>
      <c r="F12" s="78">
        <v>17247.43</v>
      </c>
      <c r="G12" s="78">
        <f t="shared" si="2"/>
        <v>0.47185</v>
      </c>
      <c r="H12" s="78">
        <f t="shared" si="3"/>
        <v>8138.1998455</v>
      </c>
      <c r="I12" s="115"/>
      <c r="J12" s="115"/>
      <c r="K12" s="116"/>
    </row>
    <row r="13" ht="54" customHeight="1" spans="1:11">
      <c r="A13" s="105">
        <v>7</v>
      </c>
      <c r="B13" s="64" t="s">
        <v>68</v>
      </c>
      <c r="C13" s="64" t="s">
        <v>54</v>
      </c>
      <c r="D13" s="64" t="s">
        <v>69</v>
      </c>
      <c r="E13" s="60" t="s">
        <v>31</v>
      </c>
      <c r="F13" s="78">
        <v>303.31</v>
      </c>
      <c r="G13" s="78">
        <f t="shared" si="2"/>
        <v>0.47185</v>
      </c>
      <c r="H13" s="78">
        <f t="shared" si="3"/>
        <v>143.1168235</v>
      </c>
      <c r="I13" s="115"/>
      <c r="J13" s="115"/>
      <c r="K13" s="116"/>
    </row>
    <row r="14" ht="66.75" customHeight="1" spans="1:11">
      <c r="A14" s="105">
        <v>8</v>
      </c>
      <c r="B14" s="64" t="s">
        <v>70</v>
      </c>
      <c r="C14" s="64" t="s">
        <v>54</v>
      </c>
      <c r="D14" s="64" t="s">
        <v>71</v>
      </c>
      <c r="E14" s="60" t="s">
        <v>31</v>
      </c>
      <c r="F14" s="78">
        <f>258.64+278.73</f>
        <v>537.37</v>
      </c>
      <c r="G14" s="78">
        <f t="shared" si="2"/>
        <v>0.47185</v>
      </c>
      <c r="H14" s="78">
        <f t="shared" si="3"/>
        <v>253.5580345</v>
      </c>
      <c r="I14" s="115"/>
      <c r="J14" s="115"/>
      <c r="K14" s="116"/>
    </row>
    <row r="15" s="1" customFormat="1" ht="66.75" customHeight="1" spans="1:11">
      <c r="A15" s="105">
        <v>9</v>
      </c>
      <c r="B15" s="64" t="s">
        <v>72</v>
      </c>
      <c r="C15" s="64" t="s">
        <v>54</v>
      </c>
      <c r="D15" s="64" t="s">
        <v>73</v>
      </c>
      <c r="E15" s="60" t="s">
        <v>31</v>
      </c>
      <c r="F15" s="78">
        <v>1197.3</v>
      </c>
      <c r="G15" s="78">
        <f t="shared" si="2"/>
        <v>0.47185</v>
      </c>
      <c r="H15" s="78">
        <f t="shared" si="3"/>
        <v>564.946005</v>
      </c>
      <c r="I15" s="115"/>
      <c r="J15" s="115"/>
      <c r="K15" s="116"/>
    </row>
    <row r="16" ht="18" customHeight="1" spans="1:11">
      <c r="A16" s="105"/>
      <c r="B16" s="64"/>
      <c r="C16" s="64" t="s">
        <v>74</v>
      </c>
      <c r="D16" s="64"/>
      <c r="E16" s="64"/>
      <c r="F16" s="78"/>
      <c r="G16" s="78"/>
      <c r="H16" s="78"/>
      <c r="I16" s="78"/>
      <c r="J16" s="78"/>
      <c r="K16" s="114"/>
    </row>
    <row r="17" ht="18" customHeight="1" spans="1:11">
      <c r="A17" s="105" t="s">
        <v>75</v>
      </c>
      <c r="B17" s="108"/>
      <c r="C17" s="60"/>
      <c r="D17" s="60"/>
      <c r="E17" s="60"/>
      <c r="F17" s="60"/>
      <c r="G17" s="60"/>
      <c r="H17" s="60"/>
      <c r="I17" s="60"/>
      <c r="J17" s="78"/>
      <c r="K17" s="114"/>
    </row>
    <row r="18" ht="18" customHeight="1" spans="1:11">
      <c r="A18" s="109" t="s">
        <v>39</v>
      </c>
      <c r="B18" s="110"/>
      <c r="C18" s="111"/>
      <c r="D18" s="111"/>
      <c r="E18" s="111"/>
      <c r="F18" s="111"/>
      <c r="G18" s="111"/>
      <c r="H18" s="111"/>
      <c r="I18" s="111"/>
      <c r="J18" s="117"/>
      <c r="K18" s="118"/>
    </row>
  </sheetData>
  <mergeCells count="14">
    <mergeCell ref="A1:K1"/>
    <mergeCell ref="I2:K2"/>
    <mergeCell ref="A17:I17"/>
    <mergeCell ref="A18:I18"/>
    <mergeCell ref="A2:A4"/>
    <mergeCell ref="B2:B4"/>
    <mergeCell ref="C2:C4"/>
    <mergeCell ref="D2:D4"/>
    <mergeCell ref="E2:E4"/>
    <mergeCell ref="F2:F4"/>
    <mergeCell ref="G2:G4"/>
    <mergeCell ref="H2:H4"/>
    <mergeCell ref="I3:I4"/>
    <mergeCell ref="J3:J4"/>
  </mergeCells>
  <printOptions horizontalCentered="1"/>
  <pageMargins left="0.116416666666667" right="0.116416666666667" top="1.55208333333333" bottom="0.59375" header="0.59375" footer="0"/>
  <pageSetup paperSize="9" orientation="portrait"/>
  <headerFooter>
    <oddHeader>&amp;L&amp;20
&amp;"宋体,常规"&amp;10 工程名称：地上部分简装工程&amp;C&amp;"宋体,加粗"&amp;20 分部分项工程和单价措施项目清单与计价表
&amp;"宋体,常规"&amp;10 标段：&amp;R&amp;20
&amp;"宋体,常规"&amp;10 第 &amp;P 页  共 &amp;N 页</oddHeader>
    <oddFooter>&amp;L&amp;9
&amp;9&amp;C&amp;"宋体,常规"&amp;9 注：为计取规费等的使用，可在表中增设其中：“定额人工费”。
&amp;9&amp;R&amp;9
&amp;"宋体,常规"&amp;9 表—08</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6"/>
  <sheetViews>
    <sheetView showGridLines="0" zoomScale="80" zoomScaleNormal="80" topLeftCell="A18" workbookViewId="0">
      <selection activeCell="G32" sqref="G32"/>
    </sheetView>
  </sheetViews>
  <sheetFormatPr defaultColWidth="9" defaultRowHeight="11.4"/>
  <cols>
    <col min="1" max="1" width="7.66666666666667" customWidth="1"/>
    <col min="2" max="2" width="13.625" customWidth="1"/>
    <col min="3" max="3" width="41.125" customWidth="1" outlineLevel="1"/>
    <col min="4" max="4" width="29" customWidth="1" outlineLevel="1"/>
    <col min="5" max="9" width="19.4375" style="55" customWidth="1"/>
    <col min="10" max="10" width="48" customWidth="1"/>
    <col min="11" max="11" width="13" customWidth="1"/>
    <col min="12" max="12" width="9.83333333333333" customWidth="1"/>
    <col min="13" max="14" width="10.5" style="2" customWidth="1"/>
    <col min="15" max="15" width="9" customWidth="1"/>
    <col min="16" max="16" width="9.69791666666667"/>
    <col min="17" max="17" width="16.8020833333333" style="19" customWidth="1"/>
    <col min="18" max="18" width="9" style="19"/>
    <col min="19" max="19" width="17.8958333333333" style="20" customWidth="1"/>
    <col min="20" max="20" width="13" style="19"/>
    <col min="21" max="21" width="18.3958333333333" style="20" customWidth="1"/>
    <col min="22" max="22" width="13" style="19"/>
    <col min="23" max="23" width="19.8020833333333" style="20" customWidth="1"/>
  </cols>
  <sheetData>
    <row r="1" ht="31" customHeight="1" spans="1:15">
      <c r="A1" s="3" t="s">
        <v>76</v>
      </c>
      <c r="B1" s="3"/>
      <c r="C1" s="3"/>
      <c r="D1" s="3"/>
      <c r="E1" s="3"/>
      <c r="F1" s="3"/>
      <c r="G1" s="3"/>
      <c r="H1" s="3"/>
      <c r="I1" s="3"/>
      <c r="J1" s="3"/>
      <c r="K1" s="3"/>
      <c r="L1" s="3"/>
      <c r="M1" s="4"/>
      <c r="N1" s="4"/>
      <c r="O1" s="3"/>
    </row>
    <row r="2" ht="17.25" customHeight="1" spans="1:24">
      <c r="A2" s="56" t="s">
        <v>1</v>
      </c>
      <c r="B2" s="57" t="s">
        <v>77</v>
      </c>
      <c r="C2" s="57" t="s">
        <v>20</v>
      </c>
      <c r="D2" s="58" t="s">
        <v>78</v>
      </c>
      <c r="E2" s="58" t="s">
        <v>46</v>
      </c>
      <c r="F2" s="58" t="s">
        <v>79</v>
      </c>
      <c r="G2" s="58" t="s">
        <v>80</v>
      </c>
      <c r="H2" s="58" t="s">
        <v>81</v>
      </c>
      <c r="I2" s="58" t="s">
        <v>82</v>
      </c>
      <c r="J2" s="58"/>
      <c r="K2" s="58" t="s">
        <v>83</v>
      </c>
      <c r="L2" s="72" t="s">
        <v>84</v>
      </c>
      <c r="M2" s="73" t="s">
        <v>47</v>
      </c>
      <c r="N2" s="74"/>
      <c r="O2" s="75"/>
      <c r="Q2" s="19" t="s">
        <v>85</v>
      </c>
      <c r="R2" s="19" t="s">
        <v>86</v>
      </c>
      <c r="S2" s="20" t="s">
        <v>87</v>
      </c>
      <c r="T2" s="19" t="s">
        <v>88</v>
      </c>
      <c r="U2" s="20" t="s">
        <v>87</v>
      </c>
      <c r="V2" s="19" t="s">
        <v>89</v>
      </c>
      <c r="W2" s="20" t="s">
        <v>87</v>
      </c>
      <c r="X2" s="94" t="s">
        <v>90</v>
      </c>
    </row>
    <row r="3" ht="17.25" customHeight="1" spans="1:15">
      <c r="A3" s="59"/>
      <c r="B3" s="60"/>
      <c r="C3" s="60"/>
      <c r="D3" s="61"/>
      <c r="E3" s="61"/>
      <c r="F3" s="61"/>
      <c r="G3" s="61"/>
      <c r="H3" s="61"/>
      <c r="I3" s="61"/>
      <c r="J3" s="61"/>
      <c r="K3" s="61"/>
      <c r="L3" s="5"/>
      <c r="M3" s="8" t="s">
        <v>91</v>
      </c>
      <c r="N3" s="76" t="s">
        <v>49</v>
      </c>
      <c r="O3" s="77" t="s">
        <v>50</v>
      </c>
    </row>
    <row r="4" ht="17.25" customHeight="1" spans="1:15">
      <c r="A4" s="59"/>
      <c r="B4" s="60"/>
      <c r="C4" s="60"/>
      <c r="D4" s="62"/>
      <c r="E4" s="62"/>
      <c r="F4" s="62"/>
      <c r="G4" s="62"/>
      <c r="H4" s="62"/>
      <c r="I4" s="62"/>
      <c r="J4" s="62"/>
      <c r="K4" s="62"/>
      <c r="L4" s="5"/>
      <c r="M4" s="8"/>
      <c r="N4" s="76"/>
      <c r="O4" s="77" t="s">
        <v>51</v>
      </c>
    </row>
    <row r="5" ht="28.5" customHeight="1" spans="1:15">
      <c r="A5" s="59"/>
      <c r="B5" s="63" t="s">
        <v>92</v>
      </c>
      <c r="C5" s="64"/>
      <c r="D5" s="60"/>
      <c r="E5" s="60"/>
      <c r="F5" s="60"/>
      <c r="G5" s="60"/>
      <c r="H5" s="60"/>
      <c r="I5" s="60"/>
      <c r="J5" s="78"/>
      <c r="K5" s="78"/>
      <c r="L5" s="79"/>
      <c r="M5" s="80"/>
      <c r="N5" s="81"/>
      <c r="O5" s="82"/>
    </row>
    <row r="6" ht="44" customHeight="1" spans="1:22">
      <c r="A6" s="59">
        <v>1</v>
      </c>
      <c r="B6" s="64" t="s">
        <v>54</v>
      </c>
      <c r="C6" s="64" t="s">
        <v>55</v>
      </c>
      <c r="D6" s="60">
        <f>11791.07+13476.09</f>
        <v>25267.16</v>
      </c>
      <c r="E6" s="65">
        <f>11575.7505</f>
        <v>11575.75</v>
      </c>
      <c r="F6" s="65"/>
      <c r="G6" s="65"/>
      <c r="H6" s="65"/>
      <c r="I6" s="65"/>
      <c r="J6" s="83" t="s">
        <v>93</v>
      </c>
      <c r="K6" s="84">
        <f>11575.7505+756.3195</f>
        <v>12332.07</v>
      </c>
      <c r="L6" s="78"/>
      <c r="M6" s="85">
        <f>+Q6</f>
        <v>12.59</v>
      </c>
      <c r="N6" s="85">
        <f>+M6*E6</f>
        <v>145738.69</v>
      </c>
      <c r="O6" s="86"/>
      <c r="Q6" s="19">
        <f>AVERAGE(R6,T6,V6)</f>
        <v>12.59</v>
      </c>
      <c r="R6" s="19">
        <f>15.2/1.13</f>
        <v>13.45</v>
      </c>
      <c r="T6" s="19">
        <f>15.86/1.13</f>
        <v>14.04</v>
      </c>
      <c r="V6" s="19">
        <v>10.29</v>
      </c>
    </row>
    <row r="7" s="23" customFormat="1" ht="44" customHeight="1" spans="1:23">
      <c r="A7" s="66"/>
      <c r="B7" s="67"/>
      <c r="C7" s="67" t="s">
        <v>94</v>
      </c>
      <c r="D7" s="68">
        <v>25267.16</v>
      </c>
      <c r="E7" s="69">
        <v>3800</v>
      </c>
      <c r="F7" s="69"/>
      <c r="G7" s="69"/>
      <c r="H7" s="69"/>
      <c r="I7" s="69"/>
      <c r="J7" s="87"/>
      <c r="K7" s="88"/>
      <c r="L7" s="88"/>
      <c r="M7" s="89"/>
      <c r="N7" s="89"/>
      <c r="O7" s="90"/>
      <c r="Q7" s="95"/>
      <c r="R7" s="95"/>
      <c r="S7" s="96"/>
      <c r="T7" s="95"/>
      <c r="U7" s="96"/>
      <c r="V7" s="95"/>
      <c r="W7" s="96"/>
    </row>
    <row r="8" s="23" customFormat="1" ht="44" customHeight="1" spans="1:23">
      <c r="A8" s="66"/>
      <c r="B8" s="67"/>
      <c r="C8" s="67" t="s">
        <v>95</v>
      </c>
      <c r="D8" s="68">
        <v>25267.16</v>
      </c>
      <c r="E8" s="69">
        <v>7580</v>
      </c>
      <c r="F8" s="69"/>
      <c r="G8" s="69"/>
      <c r="H8" s="69"/>
      <c r="I8" s="69"/>
      <c r="J8" s="87"/>
      <c r="K8" s="88"/>
      <c r="L8" s="88"/>
      <c r="M8" s="89"/>
      <c r="N8" s="89"/>
      <c r="O8" s="90"/>
      <c r="Q8" s="95"/>
      <c r="R8" s="95"/>
      <c r="S8" s="96"/>
      <c r="T8" s="95"/>
      <c r="U8" s="96"/>
      <c r="V8" s="95"/>
      <c r="W8" s="96"/>
    </row>
    <row r="9" ht="44" customHeight="1" spans="1:22">
      <c r="A9" s="59">
        <v>2</v>
      </c>
      <c r="B9" s="64" t="s">
        <v>54</v>
      </c>
      <c r="C9" s="64" t="s">
        <v>57</v>
      </c>
      <c r="D9" s="60">
        <v>437.28</v>
      </c>
      <c r="E9" s="65">
        <v>196.78</v>
      </c>
      <c r="F9" s="65"/>
      <c r="G9" s="65"/>
      <c r="H9" s="65"/>
      <c r="I9" s="65"/>
      <c r="J9" s="84" t="s">
        <v>96</v>
      </c>
      <c r="K9" s="78">
        <v>91.833</v>
      </c>
      <c r="L9" s="78"/>
      <c r="M9" s="85">
        <f>+Q9</f>
        <v>13.27</v>
      </c>
      <c r="N9" s="85">
        <f>+M9*E9</f>
        <v>2611.27</v>
      </c>
      <c r="O9" s="86"/>
      <c r="Q9" s="19">
        <f>AVERAGE(R9,T9,V9)</f>
        <v>13.27</v>
      </c>
      <c r="R9" s="19">
        <f>15.18/1.01</f>
        <v>15.03</v>
      </c>
      <c r="T9" s="19">
        <f>14.7/1.13</f>
        <v>13.01</v>
      </c>
      <c r="V9" s="19">
        <v>11.78</v>
      </c>
    </row>
    <row r="10" s="23" customFormat="1" ht="44" customHeight="1" spans="1:23">
      <c r="A10" s="66"/>
      <c r="B10" s="67"/>
      <c r="C10" s="67" t="s">
        <v>97</v>
      </c>
      <c r="D10" s="68">
        <v>437.28</v>
      </c>
      <c r="E10" s="69">
        <v>80</v>
      </c>
      <c r="F10" s="69"/>
      <c r="G10" s="69"/>
      <c r="H10" s="69"/>
      <c r="I10" s="69"/>
      <c r="J10" s="87"/>
      <c r="K10" s="88"/>
      <c r="L10" s="88"/>
      <c r="M10" s="89"/>
      <c r="N10" s="89"/>
      <c r="O10" s="90"/>
      <c r="Q10" s="95"/>
      <c r="R10" s="95"/>
      <c r="S10" s="96"/>
      <c r="T10" s="95"/>
      <c r="U10" s="96"/>
      <c r="V10" s="95"/>
      <c r="W10" s="96"/>
    </row>
    <row r="11" s="23" customFormat="1" ht="44" customHeight="1" spans="1:23">
      <c r="A11" s="66"/>
      <c r="B11" s="67"/>
      <c r="C11" s="67" t="s">
        <v>98</v>
      </c>
      <c r="D11" s="68">
        <v>437.28</v>
      </c>
      <c r="E11" s="69">
        <v>120</v>
      </c>
      <c r="F11" s="69"/>
      <c r="G11" s="69"/>
      <c r="H11" s="69"/>
      <c r="I11" s="69"/>
      <c r="J11" s="87"/>
      <c r="K11" s="88"/>
      <c r="L11" s="88"/>
      <c r="M11" s="89"/>
      <c r="N11" s="89"/>
      <c r="O11" s="90"/>
      <c r="Q11" s="95"/>
      <c r="R11" s="95"/>
      <c r="S11" s="96"/>
      <c r="T11" s="95"/>
      <c r="U11" s="96"/>
      <c r="V11" s="95"/>
      <c r="W11" s="96"/>
    </row>
    <row r="12" customFormat="1" ht="44" hidden="1" customHeight="1" spans="1:23">
      <c r="A12" s="59"/>
      <c r="B12" s="64"/>
      <c r="C12" s="64"/>
      <c r="D12" s="60"/>
      <c r="E12" s="65"/>
      <c r="F12" s="65"/>
      <c r="G12" s="65"/>
      <c r="H12" s="65"/>
      <c r="I12" s="65"/>
      <c r="J12" s="84" t="s">
        <v>99</v>
      </c>
      <c r="K12" s="78">
        <v>104.0774</v>
      </c>
      <c r="L12" s="78"/>
      <c r="M12" s="85"/>
      <c r="N12" s="85"/>
      <c r="O12" s="86"/>
      <c r="Q12" s="19"/>
      <c r="R12" s="19"/>
      <c r="S12" s="20"/>
      <c r="T12" s="19"/>
      <c r="U12" s="20"/>
      <c r="V12" s="19"/>
      <c r="W12" s="20"/>
    </row>
    <row r="13" s="1" customFormat="1" ht="44" customHeight="1" spans="1:23">
      <c r="A13" s="59">
        <v>3</v>
      </c>
      <c r="B13" s="64" t="s">
        <v>54</v>
      </c>
      <c r="C13" s="64" t="s">
        <v>62</v>
      </c>
      <c r="D13" s="60">
        <v>456.734</v>
      </c>
      <c r="E13" s="65">
        <v>205.53</v>
      </c>
      <c r="F13" s="65"/>
      <c r="G13" s="65"/>
      <c r="H13" s="65"/>
      <c r="I13" s="65"/>
      <c r="J13" s="83" t="s">
        <v>93</v>
      </c>
      <c r="K13" s="84">
        <v>205.53</v>
      </c>
      <c r="L13" s="78"/>
      <c r="M13" s="85">
        <f>+Q13</f>
        <v>12.75</v>
      </c>
      <c r="N13" s="85">
        <f>+M13*E13</f>
        <v>2620.51</v>
      </c>
      <c r="O13" s="86"/>
      <c r="Q13" s="19">
        <f>AVERAGE(R13,T13,V13)</f>
        <v>12.75</v>
      </c>
      <c r="R13" s="19">
        <f>15.2/1.13</f>
        <v>13.45</v>
      </c>
      <c r="S13" s="97"/>
      <c r="T13" s="19">
        <f>14.7/1.13</f>
        <v>13.01</v>
      </c>
      <c r="U13" s="97"/>
      <c r="V13" s="19">
        <v>11.78</v>
      </c>
      <c r="W13" s="97"/>
    </row>
    <row r="14" s="23" customFormat="1" ht="44" customHeight="1" spans="1:23">
      <c r="A14" s="66"/>
      <c r="B14" s="67"/>
      <c r="C14" s="67" t="s">
        <v>94</v>
      </c>
      <c r="D14" s="68">
        <v>456.734</v>
      </c>
      <c r="E14" s="69">
        <v>80</v>
      </c>
      <c r="F14" s="69"/>
      <c r="G14" s="69"/>
      <c r="H14" s="69"/>
      <c r="I14" s="69"/>
      <c r="J14" s="87"/>
      <c r="K14" s="87"/>
      <c r="L14" s="88"/>
      <c r="M14" s="89"/>
      <c r="N14" s="89"/>
      <c r="O14" s="90"/>
      <c r="Q14" s="95"/>
      <c r="R14" s="95"/>
      <c r="S14" s="96"/>
      <c r="T14" s="95"/>
      <c r="U14" s="96"/>
      <c r="V14" s="95"/>
      <c r="W14" s="96"/>
    </row>
    <row r="15" s="23" customFormat="1" ht="44" customHeight="1" spans="1:23">
      <c r="A15" s="66"/>
      <c r="B15" s="67"/>
      <c r="C15" s="67" t="s">
        <v>100</v>
      </c>
      <c r="D15" s="68">
        <v>456.734</v>
      </c>
      <c r="E15" s="69">
        <v>140</v>
      </c>
      <c r="F15" s="69"/>
      <c r="G15" s="69"/>
      <c r="H15" s="69"/>
      <c r="I15" s="69"/>
      <c r="J15" s="87"/>
      <c r="K15" s="87"/>
      <c r="L15" s="88"/>
      <c r="M15" s="89"/>
      <c r="N15" s="89"/>
      <c r="O15" s="90"/>
      <c r="Q15" s="95"/>
      <c r="R15" s="95"/>
      <c r="S15" s="96"/>
      <c r="T15" s="95"/>
      <c r="U15" s="96"/>
      <c r="V15" s="95"/>
      <c r="W15" s="96"/>
    </row>
    <row r="16" customFormat="1" ht="44" customHeight="1" spans="1:23">
      <c r="A16" s="59">
        <v>4</v>
      </c>
      <c r="B16" s="64" t="s">
        <v>54</v>
      </c>
      <c r="C16" s="64" t="s">
        <v>65</v>
      </c>
      <c r="D16" s="60">
        <v>6469.5</v>
      </c>
      <c r="E16" s="65">
        <v>3077.36</v>
      </c>
      <c r="F16" s="65"/>
      <c r="G16" s="65"/>
      <c r="H16" s="65"/>
      <c r="I16" s="65"/>
      <c r="J16" s="83" t="s">
        <v>93</v>
      </c>
      <c r="K16" s="84">
        <v>3077.36</v>
      </c>
      <c r="L16" s="78"/>
      <c r="M16" s="85">
        <f>+Q16</f>
        <v>12.75</v>
      </c>
      <c r="N16" s="85">
        <f>+M16*E16</f>
        <v>39236.34</v>
      </c>
      <c r="O16" s="86"/>
      <c r="Q16" s="19">
        <f>AVERAGE(R16,T16,V16)</f>
        <v>12.75</v>
      </c>
      <c r="R16" s="19">
        <f>15.2/1.13</f>
        <v>13.45</v>
      </c>
      <c r="S16" s="20"/>
      <c r="T16" s="19">
        <f>14.7/1.13</f>
        <v>13.01</v>
      </c>
      <c r="U16" s="20"/>
      <c r="V16" s="19">
        <v>11.78</v>
      </c>
      <c r="W16" s="20"/>
    </row>
    <row r="17" s="24" customFormat="1" ht="44" customHeight="1" spans="1:23">
      <c r="A17" s="66"/>
      <c r="B17" s="67"/>
      <c r="C17" s="67" t="s">
        <v>94</v>
      </c>
      <c r="D17" s="68">
        <v>6469.5</v>
      </c>
      <c r="E17" s="69">
        <v>980</v>
      </c>
      <c r="F17" s="69"/>
      <c r="G17" s="69"/>
      <c r="H17" s="69"/>
      <c r="I17" s="69"/>
      <c r="J17" s="87"/>
      <c r="K17" s="87"/>
      <c r="L17" s="88"/>
      <c r="M17" s="89"/>
      <c r="N17" s="89"/>
      <c r="O17" s="90"/>
      <c r="Q17" s="95"/>
      <c r="R17" s="98"/>
      <c r="S17" s="99"/>
      <c r="T17" s="98"/>
      <c r="U17" s="99"/>
      <c r="V17" s="98"/>
      <c r="W17" s="99"/>
    </row>
    <row r="18" s="24" customFormat="1" ht="44" customHeight="1" spans="1:23">
      <c r="A18" s="66"/>
      <c r="B18" s="67"/>
      <c r="C18" s="67" t="s">
        <v>100</v>
      </c>
      <c r="D18" s="68">
        <v>6469.5</v>
      </c>
      <c r="E18" s="69">
        <v>1940</v>
      </c>
      <c r="F18" s="69"/>
      <c r="G18" s="69"/>
      <c r="H18" s="69"/>
      <c r="I18" s="69"/>
      <c r="J18" s="87"/>
      <c r="K18" s="87"/>
      <c r="L18" s="88"/>
      <c r="M18" s="89"/>
      <c r="N18" s="89"/>
      <c r="O18" s="90"/>
      <c r="Q18" s="95"/>
      <c r="R18" s="98"/>
      <c r="S18" s="99"/>
      <c r="T18" s="98"/>
      <c r="U18" s="99"/>
      <c r="V18" s="98"/>
      <c r="W18" s="99"/>
    </row>
    <row r="19" s="1" customFormat="1" ht="44" customHeight="1" spans="1:23">
      <c r="A19" s="59">
        <v>5</v>
      </c>
      <c r="B19" s="64" t="s">
        <v>54</v>
      </c>
      <c r="C19" s="64" t="s">
        <v>67</v>
      </c>
      <c r="D19" s="60">
        <v>17247.43</v>
      </c>
      <c r="E19" s="65">
        <v>8138.2</v>
      </c>
      <c r="F19" s="65"/>
      <c r="G19" s="65"/>
      <c r="H19" s="65"/>
      <c r="I19" s="65"/>
      <c r="J19" s="84" t="s">
        <v>101</v>
      </c>
      <c r="K19" s="84">
        <v>8138.2</v>
      </c>
      <c r="L19" s="78"/>
      <c r="M19" s="85">
        <f>+Q19</f>
        <v>23.08</v>
      </c>
      <c r="N19" s="85">
        <f>+M19*E19</f>
        <v>187829.66</v>
      </c>
      <c r="O19" s="86"/>
      <c r="Q19" s="19">
        <f>AVERAGE(R19,T19,V19)</f>
        <v>23.08</v>
      </c>
      <c r="R19" s="100">
        <f>29.75/1.13</f>
        <v>26.33</v>
      </c>
      <c r="S19" s="97"/>
      <c r="T19" s="100">
        <f>28/1.13</f>
        <v>24.78</v>
      </c>
      <c r="U19" s="97"/>
      <c r="V19" s="100">
        <f>20.5/1.13</f>
        <v>18.14</v>
      </c>
      <c r="W19" s="97"/>
    </row>
    <row r="20" s="23" customFormat="1" ht="44" customHeight="1" spans="1:23">
      <c r="A20" s="66"/>
      <c r="B20" s="67"/>
      <c r="C20" s="67" t="s">
        <v>102</v>
      </c>
      <c r="D20" s="68">
        <v>17247.43</v>
      </c>
      <c r="E20" s="69">
        <v>2587</v>
      </c>
      <c r="F20" s="69"/>
      <c r="G20" s="69"/>
      <c r="H20" s="69"/>
      <c r="I20" s="69"/>
      <c r="J20" s="87"/>
      <c r="K20" s="87"/>
      <c r="L20" s="88"/>
      <c r="M20" s="89"/>
      <c r="N20" s="89"/>
      <c r="O20" s="90"/>
      <c r="Q20" s="95"/>
      <c r="R20" s="95"/>
      <c r="S20" s="96"/>
      <c r="T20" s="95"/>
      <c r="U20" s="96"/>
      <c r="V20" s="98"/>
      <c r="W20" s="96"/>
    </row>
    <row r="21" s="23" customFormat="1" ht="44" customHeight="1" spans="1:23">
      <c r="A21" s="66"/>
      <c r="B21" s="67"/>
      <c r="C21" s="67" t="s">
        <v>103</v>
      </c>
      <c r="D21" s="68">
        <v>17247.43</v>
      </c>
      <c r="E21" s="69">
        <v>5180</v>
      </c>
      <c r="F21" s="69"/>
      <c r="G21" s="69"/>
      <c r="H21" s="69"/>
      <c r="I21" s="69"/>
      <c r="J21" s="87"/>
      <c r="K21" s="87"/>
      <c r="L21" s="88"/>
      <c r="M21" s="89"/>
      <c r="N21" s="89"/>
      <c r="O21" s="90"/>
      <c r="Q21" s="95"/>
      <c r="R21" s="95"/>
      <c r="S21" s="96"/>
      <c r="T21" s="95"/>
      <c r="U21" s="96"/>
      <c r="V21" s="98"/>
      <c r="W21" s="96"/>
    </row>
    <row r="22" ht="44" customHeight="1" spans="1:22">
      <c r="A22" s="59">
        <v>6</v>
      </c>
      <c r="B22" s="64" t="s">
        <v>54</v>
      </c>
      <c r="C22" s="64" t="s">
        <v>69</v>
      </c>
      <c r="D22" s="60">
        <v>303.3054</v>
      </c>
      <c r="E22" s="65">
        <v>143.12</v>
      </c>
      <c r="F22" s="65"/>
      <c r="G22" s="65"/>
      <c r="H22" s="65"/>
      <c r="I22" s="65"/>
      <c r="J22" s="83" t="s">
        <v>93</v>
      </c>
      <c r="K22" s="84">
        <v>143.12</v>
      </c>
      <c r="L22" s="78"/>
      <c r="M22" s="85">
        <f>+Q22</f>
        <v>12.26</v>
      </c>
      <c r="N22" s="85">
        <f>+M22*E22</f>
        <v>1754.65</v>
      </c>
      <c r="O22" s="86"/>
      <c r="Q22" s="19">
        <f>AVERAGE(R22,T22,V22)</f>
        <v>12.26</v>
      </c>
      <c r="R22" s="19">
        <f>15.2/1.13</f>
        <v>13.45</v>
      </c>
      <c r="T22" s="19">
        <f>15.86/1.13</f>
        <v>14.04</v>
      </c>
      <c r="V22" s="100">
        <f>10.5/1.13</f>
        <v>9.29</v>
      </c>
    </row>
    <row r="23" s="23" customFormat="1" ht="44" customHeight="1" spans="1:23">
      <c r="A23" s="66"/>
      <c r="B23" s="67"/>
      <c r="C23" s="67" t="s">
        <v>94</v>
      </c>
      <c r="D23" s="68">
        <v>303.3054</v>
      </c>
      <c r="E23" s="69">
        <v>60</v>
      </c>
      <c r="F23" s="69"/>
      <c r="G23" s="69"/>
      <c r="H23" s="69"/>
      <c r="I23" s="69"/>
      <c r="J23" s="87"/>
      <c r="K23" s="87"/>
      <c r="L23" s="88"/>
      <c r="M23" s="89"/>
      <c r="N23" s="89"/>
      <c r="O23" s="90"/>
      <c r="Q23" s="95"/>
      <c r="R23" s="98"/>
      <c r="S23" s="99"/>
      <c r="T23" s="98"/>
      <c r="U23" s="96"/>
      <c r="V23" s="98"/>
      <c r="W23" s="96"/>
    </row>
    <row r="24" s="23" customFormat="1" ht="44" customHeight="1" spans="1:23">
      <c r="A24" s="66"/>
      <c r="B24" s="67"/>
      <c r="C24" s="67" t="s">
        <v>100</v>
      </c>
      <c r="D24" s="68">
        <v>303.3054</v>
      </c>
      <c r="E24" s="69">
        <v>100</v>
      </c>
      <c r="F24" s="69"/>
      <c r="G24" s="69"/>
      <c r="H24" s="69"/>
      <c r="I24" s="69"/>
      <c r="J24" s="87"/>
      <c r="K24" s="87"/>
      <c r="L24" s="88"/>
      <c r="M24" s="89"/>
      <c r="N24" s="89"/>
      <c r="O24" s="90"/>
      <c r="Q24" s="95"/>
      <c r="R24" s="98"/>
      <c r="S24" s="99"/>
      <c r="T24" s="98"/>
      <c r="U24" s="96"/>
      <c r="V24" s="98"/>
      <c r="W24" s="96"/>
    </row>
    <row r="25" ht="44" customHeight="1" spans="1:22">
      <c r="A25" s="59">
        <v>7</v>
      </c>
      <c r="B25" s="64" t="s">
        <v>54</v>
      </c>
      <c r="C25" s="64" t="s">
        <v>71</v>
      </c>
      <c r="D25" s="60">
        <f>258.64+278.73</f>
        <v>537.37</v>
      </c>
      <c r="E25" s="65">
        <v>253.56</v>
      </c>
      <c r="F25" s="65"/>
      <c r="G25" s="65"/>
      <c r="H25" s="65"/>
      <c r="I25" s="65"/>
      <c r="J25" s="84" t="s">
        <v>104</v>
      </c>
      <c r="K25" s="84">
        <v>253.56</v>
      </c>
      <c r="L25" s="78"/>
      <c r="M25" s="85">
        <f>+Q25</f>
        <v>23.08</v>
      </c>
      <c r="N25" s="85">
        <f>+M25*E25</f>
        <v>5852.16</v>
      </c>
      <c r="O25" s="86"/>
      <c r="Q25" s="19">
        <f>AVERAGE(R25,T25,V25)</f>
        <v>23.08</v>
      </c>
      <c r="R25" s="100">
        <f>29.75/1.13</f>
        <v>26.33</v>
      </c>
      <c r="S25" s="97"/>
      <c r="T25" s="100">
        <f>28/1.13</f>
        <v>24.78</v>
      </c>
      <c r="V25" s="100">
        <f>20.5/1.13</f>
        <v>18.14</v>
      </c>
    </row>
    <row r="26" s="24" customFormat="1" ht="44" customHeight="1" spans="1:23">
      <c r="A26" s="66"/>
      <c r="B26" s="67"/>
      <c r="C26" s="67" t="s">
        <v>102</v>
      </c>
      <c r="D26" s="68">
        <v>537.37</v>
      </c>
      <c r="E26" s="69">
        <v>80</v>
      </c>
      <c r="F26" s="69"/>
      <c r="G26" s="69"/>
      <c r="H26" s="69"/>
      <c r="I26" s="69"/>
      <c r="J26" s="87"/>
      <c r="K26" s="87"/>
      <c r="L26" s="88"/>
      <c r="M26" s="89"/>
      <c r="N26" s="89"/>
      <c r="O26" s="90"/>
      <c r="Q26" s="95"/>
      <c r="R26" s="98"/>
      <c r="S26" s="99"/>
      <c r="T26" s="98"/>
      <c r="U26" s="99"/>
      <c r="V26" s="98"/>
      <c r="W26" s="99"/>
    </row>
    <row r="27" s="24" customFormat="1" ht="44" customHeight="1" spans="1:23">
      <c r="A27" s="66"/>
      <c r="B27" s="67"/>
      <c r="C27" s="67" t="s">
        <v>103</v>
      </c>
      <c r="D27" s="68">
        <v>537.37</v>
      </c>
      <c r="E27" s="69">
        <v>160</v>
      </c>
      <c r="F27" s="69"/>
      <c r="G27" s="69"/>
      <c r="H27" s="69"/>
      <c r="I27" s="69"/>
      <c r="J27" s="87"/>
      <c r="K27" s="87"/>
      <c r="L27" s="88"/>
      <c r="M27" s="89"/>
      <c r="N27" s="89"/>
      <c r="O27" s="90"/>
      <c r="Q27" s="95"/>
      <c r="R27" s="98"/>
      <c r="S27" s="99"/>
      <c r="T27" s="98"/>
      <c r="U27" s="99"/>
      <c r="V27" s="98"/>
      <c r="W27" s="99"/>
    </row>
    <row r="28" s="1" customFormat="1" ht="44" customHeight="1" spans="1:23">
      <c r="A28" s="59">
        <v>8</v>
      </c>
      <c r="B28" s="64" t="s">
        <v>54</v>
      </c>
      <c r="C28" s="64" t="s">
        <v>73</v>
      </c>
      <c r="D28" s="60">
        <v>1197.3</v>
      </c>
      <c r="E28" s="65">
        <v>564.95</v>
      </c>
      <c r="F28" s="65"/>
      <c r="G28" s="65"/>
      <c r="H28" s="65"/>
      <c r="I28" s="65"/>
      <c r="J28" s="91" t="s">
        <v>105</v>
      </c>
      <c r="K28" s="84">
        <v>564.95</v>
      </c>
      <c r="L28" s="78"/>
      <c r="M28" s="85">
        <f>+Q28</f>
        <v>12.11</v>
      </c>
      <c r="N28" s="85">
        <f>+M28*E28</f>
        <v>6841.54</v>
      </c>
      <c r="O28" s="86"/>
      <c r="Q28" s="19">
        <f>AVERAGE(R28,T28,V28)</f>
        <v>12.11</v>
      </c>
      <c r="R28" s="100">
        <f>16.95/1.13</f>
        <v>15</v>
      </c>
      <c r="S28" s="97"/>
      <c r="T28" s="100">
        <f>13.6/1.13</f>
        <v>12.04</v>
      </c>
      <c r="U28" s="97"/>
      <c r="V28" s="100">
        <f>10.5/1.13</f>
        <v>9.29</v>
      </c>
      <c r="W28" s="97"/>
    </row>
    <row r="29" s="24" customFormat="1" ht="44" customHeight="1" spans="1:23">
      <c r="A29" s="66"/>
      <c r="B29" s="67"/>
      <c r="C29" s="67" t="s">
        <v>106</v>
      </c>
      <c r="D29" s="68">
        <v>1197.3</v>
      </c>
      <c r="E29" s="69">
        <v>180</v>
      </c>
      <c r="F29" s="69"/>
      <c r="G29" s="69"/>
      <c r="H29" s="69"/>
      <c r="I29" s="69"/>
      <c r="J29" s="87"/>
      <c r="K29" s="88"/>
      <c r="L29" s="88"/>
      <c r="M29" s="89"/>
      <c r="N29" s="89"/>
      <c r="O29" s="90"/>
      <c r="Q29" s="95"/>
      <c r="R29" s="95"/>
      <c r="S29" s="96"/>
      <c r="T29" s="95"/>
      <c r="U29" s="95"/>
      <c r="V29" s="95"/>
      <c r="W29" s="99"/>
    </row>
    <row r="30" s="24" customFormat="1" ht="44" customHeight="1" spans="1:23">
      <c r="A30" s="66"/>
      <c r="B30" s="67"/>
      <c r="C30" s="67" t="s">
        <v>105</v>
      </c>
      <c r="D30" s="68">
        <v>1197.3</v>
      </c>
      <c r="E30" s="69">
        <v>500</v>
      </c>
      <c r="F30" s="69"/>
      <c r="G30" s="69"/>
      <c r="H30" s="69"/>
      <c r="I30" s="69"/>
      <c r="J30" s="87"/>
      <c r="K30" s="88"/>
      <c r="L30" s="88"/>
      <c r="M30" s="89"/>
      <c r="N30" s="89"/>
      <c r="O30" s="90"/>
      <c r="Q30" s="95"/>
      <c r="R30" s="95"/>
      <c r="S30" s="96"/>
      <c r="T30" s="95"/>
      <c r="U30" s="95"/>
      <c r="V30" s="95"/>
      <c r="W30" s="99"/>
    </row>
    <row r="31" s="1" customFormat="1" ht="44" customHeight="1" spans="1:23">
      <c r="A31" s="59">
        <v>9</v>
      </c>
      <c r="B31" s="64" t="s">
        <v>107</v>
      </c>
      <c r="C31" s="64" t="s">
        <v>108</v>
      </c>
      <c r="D31" s="60">
        <f>124+146.55+192.62+145+18.06+61.46+41.84+104.65+17.17+49.07</f>
        <v>900.42</v>
      </c>
      <c r="E31" s="65">
        <v>98.33</v>
      </c>
      <c r="F31" s="65"/>
      <c r="G31" s="65"/>
      <c r="H31" s="65"/>
      <c r="I31" s="65"/>
      <c r="J31" s="84" t="s">
        <v>109</v>
      </c>
      <c r="K31" s="78">
        <v>218.622</v>
      </c>
      <c r="L31" s="78"/>
      <c r="M31" s="85">
        <f>+Q31</f>
        <v>11.87</v>
      </c>
      <c r="N31" s="85">
        <f>+M31*E31</f>
        <v>1167.18</v>
      </c>
      <c r="O31" s="86"/>
      <c r="Q31" s="19">
        <f>AVERAGE(R31,U31,V31)</f>
        <v>11.87</v>
      </c>
      <c r="R31" s="19">
        <v>13.45</v>
      </c>
      <c r="T31" s="19">
        <v>14.04</v>
      </c>
      <c r="U31" s="19"/>
      <c r="V31" s="19">
        <v>10.29</v>
      </c>
      <c r="W31" s="97"/>
    </row>
    <row r="32" s="1" customFormat="1" ht="44" customHeight="1" spans="1:23">
      <c r="A32" s="59">
        <v>10</v>
      </c>
      <c r="B32" s="64" t="s">
        <v>107</v>
      </c>
      <c r="C32" s="64" t="s">
        <v>110</v>
      </c>
      <c r="D32" s="60">
        <f>124+146.55+192.62+145+18.06+61.46+41.84+104.65+17.17+49.07</f>
        <v>900.42</v>
      </c>
      <c r="E32" s="65">
        <f>316.9479-98.3259</f>
        <v>218.62</v>
      </c>
      <c r="F32" s="65"/>
      <c r="G32" s="65"/>
      <c r="H32" s="65"/>
      <c r="I32" s="65"/>
      <c r="J32" s="84" t="s">
        <v>111</v>
      </c>
      <c r="K32" s="78">
        <v>98.3259</v>
      </c>
      <c r="L32" s="78"/>
      <c r="M32" s="85">
        <f>+Q32</f>
        <v>11.87</v>
      </c>
      <c r="N32" s="85">
        <f>+M32*E32</f>
        <v>2595.02</v>
      </c>
      <c r="O32" s="86"/>
      <c r="Q32" s="19">
        <f>AVERAGE(R32,U32,V32)</f>
        <v>11.87</v>
      </c>
      <c r="R32" s="19">
        <v>13.45</v>
      </c>
      <c r="T32" s="19">
        <v>14.04</v>
      </c>
      <c r="U32" s="19"/>
      <c r="V32" s="19">
        <v>10.29</v>
      </c>
      <c r="W32" s="97"/>
    </row>
    <row r="33" s="1" customFormat="1" ht="44" customHeight="1" spans="1:23">
      <c r="A33" s="59">
        <v>11</v>
      </c>
      <c r="B33" s="64" t="s">
        <v>112</v>
      </c>
      <c r="C33" s="64" t="s">
        <v>113</v>
      </c>
      <c r="D33" s="60">
        <f>124+1101.63+145+2007.39+18.06+41.84+160.98+105.4+17.17+2271.56</f>
        <v>5993.03</v>
      </c>
      <c r="E33" s="65">
        <v>1696.69</v>
      </c>
      <c r="F33" s="65"/>
      <c r="G33" s="65"/>
      <c r="H33" s="65"/>
      <c r="I33" s="65"/>
      <c r="J33" s="84" t="s">
        <v>101</v>
      </c>
      <c r="K33" s="84">
        <v>1696.69</v>
      </c>
      <c r="L33" s="78"/>
      <c r="M33" s="85">
        <f>+Q33</f>
        <v>12.59</v>
      </c>
      <c r="N33" s="85">
        <f>+M33*E33</f>
        <v>21361.33</v>
      </c>
      <c r="O33" s="86"/>
      <c r="Q33" s="19">
        <f>AVERAGE(R33,T33,V33)</f>
        <v>12.59</v>
      </c>
      <c r="R33" s="19">
        <f>15.2/1.13</f>
        <v>13.45</v>
      </c>
      <c r="S33" s="97"/>
      <c r="T33" s="19">
        <f>15.86/1.13</f>
        <v>14.04</v>
      </c>
      <c r="U33" s="97"/>
      <c r="V33" s="19">
        <v>10.29</v>
      </c>
      <c r="W33" s="97"/>
    </row>
    <row r="34" ht="18" customHeight="1" spans="1:15">
      <c r="A34" s="59"/>
      <c r="B34" s="64" t="s">
        <v>74</v>
      </c>
      <c r="C34" s="64"/>
      <c r="D34" s="64"/>
      <c r="E34" s="60"/>
      <c r="F34" s="60"/>
      <c r="G34" s="60"/>
      <c r="H34" s="60"/>
      <c r="I34" s="60"/>
      <c r="J34" s="78"/>
      <c r="K34" s="78"/>
      <c r="L34" s="78"/>
      <c r="M34" s="85"/>
      <c r="N34" s="81"/>
      <c r="O34" s="82"/>
    </row>
    <row r="35" ht="18" customHeight="1" spans="1:15">
      <c r="A35" s="59" t="s">
        <v>75</v>
      </c>
      <c r="B35" s="60"/>
      <c r="C35" s="60"/>
      <c r="D35" s="60"/>
      <c r="E35" s="60"/>
      <c r="F35" s="60"/>
      <c r="G35" s="60"/>
      <c r="H35" s="60"/>
      <c r="I35" s="60"/>
      <c r="J35" s="60"/>
      <c r="K35" s="60"/>
      <c r="L35" s="60"/>
      <c r="M35" s="81"/>
      <c r="N35" s="81"/>
      <c r="O35" s="82"/>
    </row>
    <row r="36" ht="18" customHeight="1" spans="1:15">
      <c r="A36" s="70" t="s">
        <v>39</v>
      </c>
      <c r="B36" s="71"/>
      <c r="C36" s="71"/>
      <c r="D36" s="71"/>
      <c r="E36" s="71"/>
      <c r="F36" s="71"/>
      <c r="G36" s="71"/>
      <c r="H36" s="71"/>
      <c r="I36" s="71"/>
      <c r="J36" s="71"/>
      <c r="K36" s="71"/>
      <c r="L36" s="71"/>
      <c r="M36" s="92"/>
      <c r="N36" s="92"/>
      <c r="O36" s="93"/>
    </row>
  </sheetData>
  <mergeCells count="17">
    <mergeCell ref="A1:O1"/>
    <mergeCell ref="M2:O2"/>
    <mergeCell ref="A35:M35"/>
    <mergeCell ref="A36:M36"/>
    <mergeCell ref="A2:A4"/>
    <mergeCell ref="B2:B4"/>
    <mergeCell ref="C2:C4"/>
    <mergeCell ref="D2:D4"/>
    <mergeCell ref="E2:E4"/>
    <mergeCell ref="F2:F4"/>
    <mergeCell ref="G2:G4"/>
    <mergeCell ref="H2:H4"/>
    <mergeCell ref="I2:I4"/>
    <mergeCell ref="K2:K4"/>
    <mergeCell ref="L2:L4"/>
    <mergeCell ref="M3:M4"/>
    <mergeCell ref="N3:N4"/>
  </mergeCells>
  <printOptions horizontalCentered="1"/>
  <pageMargins left="0.116416666666667" right="0.116416666666667" top="1.55208333333333" bottom="0.59375" header="0.59375" footer="0"/>
  <pageSetup paperSize="9" orientation="portrait"/>
  <headerFooter>
    <oddHeader>&amp;L&amp;20
&amp;"宋体,常规"&amp;10 工程名称：地上部分简装工程&amp;C&amp;"宋体,加粗"&amp;20 分部分项工程和单价措施项目清单与计价表
&amp;"宋体,常规"&amp;10 标段：&amp;R&amp;20
&amp;"宋体,常规"&amp;10 第 &amp;P 页  共 &amp;N 页</oddHeader>
    <oddFooter>&amp;L&amp;9
&amp;9&amp;C&amp;"宋体,常规"&amp;9 注：为计取规费等的使用，可在表中增设其中：“定额人工费”。
&amp;9&amp;R&amp;9
&amp;"宋体,常规"&amp;9 表—08</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G32" sqref="G32"/>
    </sheetView>
  </sheetViews>
  <sheetFormatPr defaultColWidth="9" defaultRowHeight="11.4"/>
  <cols>
    <col min="7" max="7" width="12.375" customWidth="1"/>
  </cols>
  <sheetData>
    <row r="1" ht="12" spans="1:14">
      <c r="A1" s="30" t="s">
        <v>114</v>
      </c>
      <c r="B1" s="30"/>
      <c r="C1" s="30"/>
      <c r="D1" s="30"/>
      <c r="E1" s="30"/>
      <c r="F1" s="30"/>
      <c r="G1" s="30"/>
      <c r="H1" s="30"/>
      <c r="I1" s="30"/>
      <c r="J1" s="30"/>
      <c r="K1" s="30"/>
      <c r="L1" s="30"/>
      <c r="M1" s="30"/>
      <c r="N1" s="30"/>
    </row>
    <row r="2" ht="24" spans="1:14">
      <c r="A2" s="31" t="s">
        <v>115</v>
      </c>
      <c r="B2" s="31" t="s">
        <v>116</v>
      </c>
      <c r="C2" s="32" t="s">
        <v>117</v>
      </c>
      <c r="D2" s="31" t="s">
        <v>118</v>
      </c>
      <c r="E2" s="31" t="s">
        <v>119</v>
      </c>
      <c r="F2" s="31" t="s">
        <v>120</v>
      </c>
      <c r="G2" s="31" t="s">
        <v>121</v>
      </c>
      <c r="H2" s="31" t="s">
        <v>122</v>
      </c>
      <c r="I2" s="45" t="s">
        <v>123</v>
      </c>
      <c r="J2" s="46"/>
      <c r="K2" s="31" t="s">
        <v>124</v>
      </c>
      <c r="L2" s="47" t="s">
        <v>125</v>
      </c>
      <c r="M2" s="31" t="s">
        <v>126</v>
      </c>
      <c r="N2" s="31" t="s">
        <v>7</v>
      </c>
    </row>
    <row r="3" ht="24" spans="1:14">
      <c r="A3" s="31"/>
      <c r="B3" s="31"/>
      <c r="C3" s="33"/>
      <c r="D3" s="31"/>
      <c r="E3" s="31"/>
      <c r="F3" s="31"/>
      <c r="G3" s="31" t="s">
        <v>127</v>
      </c>
      <c r="H3" s="31" t="s">
        <v>128</v>
      </c>
      <c r="I3" s="31" t="s">
        <v>129</v>
      </c>
      <c r="J3" s="47" t="s">
        <v>130</v>
      </c>
      <c r="K3" s="31" t="s">
        <v>131</v>
      </c>
      <c r="L3" s="47" t="s">
        <v>132</v>
      </c>
      <c r="M3" s="31"/>
      <c r="N3" s="31"/>
    </row>
    <row r="4" ht="36" spans="1:14">
      <c r="A4" s="34">
        <v>1</v>
      </c>
      <c r="B4" s="35" t="s">
        <v>133</v>
      </c>
      <c r="C4" s="31" t="s">
        <v>134</v>
      </c>
      <c r="D4" s="36"/>
      <c r="E4" s="36"/>
      <c r="F4" s="36"/>
      <c r="G4" s="37">
        <v>25</v>
      </c>
      <c r="H4" s="38">
        <v>1</v>
      </c>
      <c r="I4" s="48">
        <f>F4*J4</f>
        <v>0</v>
      </c>
      <c r="J4" s="48"/>
      <c r="K4" s="49">
        <f>1/M4</f>
        <v>10</v>
      </c>
      <c r="L4" s="50">
        <f>M4*J4</f>
        <v>0</v>
      </c>
      <c r="M4" s="50">
        <v>0.1</v>
      </c>
      <c r="N4" s="51"/>
    </row>
    <row r="5" ht="36" spans="1:14">
      <c r="A5" s="34"/>
      <c r="B5" s="35"/>
      <c r="C5" s="31" t="s">
        <v>135</v>
      </c>
      <c r="D5" s="36"/>
      <c r="E5" s="36"/>
      <c r="F5" s="36"/>
      <c r="G5" s="37">
        <v>25</v>
      </c>
      <c r="H5" s="38">
        <v>1</v>
      </c>
      <c r="I5" s="48">
        <f>F5*J5</f>
        <v>0</v>
      </c>
      <c r="J5" s="48"/>
      <c r="K5" s="49">
        <f>1/M5</f>
        <v>6.67</v>
      </c>
      <c r="L5" s="50">
        <f>M5*J5</f>
        <v>0</v>
      </c>
      <c r="M5" s="44">
        <v>0.15</v>
      </c>
      <c r="N5" s="51"/>
    </row>
    <row r="6" ht="12" spans="1:14">
      <c r="A6" s="34"/>
      <c r="B6" s="35"/>
      <c r="C6" s="31" t="s">
        <v>136</v>
      </c>
      <c r="D6" s="39"/>
      <c r="E6" s="39"/>
      <c r="F6" s="39"/>
      <c r="G6" s="39"/>
      <c r="H6" s="39"/>
      <c r="I6" s="39"/>
      <c r="J6" s="39"/>
      <c r="K6" s="39"/>
      <c r="L6" s="50">
        <f>SUM(L4:L5)</f>
        <v>0</v>
      </c>
      <c r="M6" s="50"/>
      <c r="N6" s="51"/>
    </row>
    <row r="7" ht="12" spans="1:14">
      <c r="A7" s="40">
        <v>2</v>
      </c>
      <c r="B7" s="40" t="s">
        <v>137</v>
      </c>
      <c r="C7" s="41" t="s">
        <v>138</v>
      </c>
      <c r="D7" s="42"/>
      <c r="E7" s="42"/>
      <c r="F7" s="42"/>
      <c r="G7" s="42"/>
      <c r="H7" s="42"/>
      <c r="I7" s="42"/>
      <c r="J7" s="42"/>
      <c r="K7" s="52"/>
      <c r="L7" s="48">
        <v>10</v>
      </c>
      <c r="M7" s="44"/>
      <c r="N7" s="51"/>
    </row>
    <row r="8" ht="24" spans="1:14">
      <c r="A8" s="40">
        <v>3</v>
      </c>
      <c r="B8" s="43"/>
      <c r="C8" s="40" t="s">
        <v>139</v>
      </c>
      <c r="D8" s="43"/>
      <c r="E8" s="43"/>
      <c r="F8" s="40" t="s">
        <v>140</v>
      </c>
      <c r="G8" s="44" t="s">
        <v>141</v>
      </c>
      <c r="H8" s="44"/>
      <c r="I8" s="44">
        <f>L6+L7</f>
        <v>10</v>
      </c>
      <c r="J8" s="44" t="s">
        <v>142</v>
      </c>
      <c r="K8" s="53"/>
      <c r="L8" s="44">
        <f>I8*K8</f>
        <v>0</v>
      </c>
      <c r="M8" s="44"/>
      <c r="N8" s="51"/>
    </row>
    <row r="9" ht="24" spans="1:14">
      <c r="A9" s="40">
        <v>4</v>
      </c>
      <c r="B9" s="43"/>
      <c r="C9" s="40" t="s">
        <v>143</v>
      </c>
      <c r="D9" s="43"/>
      <c r="E9" s="43"/>
      <c r="F9" s="40" t="s">
        <v>140</v>
      </c>
      <c r="G9" s="44" t="s">
        <v>141</v>
      </c>
      <c r="H9" s="44"/>
      <c r="I9" s="44">
        <f>I8</f>
        <v>10</v>
      </c>
      <c r="J9" s="44" t="s">
        <v>142</v>
      </c>
      <c r="K9" s="53"/>
      <c r="L9" s="44">
        <f t="shared" ref="L8:L10" si="0">I9*K9</f>
        <v>0</v>
      </c>
      <c r="M9" s="44"/>
      <c r="N9" s="51"/>
    </row>
    <row r="10" ht="24" spans="1:14">
      <c r="A10" s="40">
        <v>5</v>
      </c>
      <c r="B10" s="43"/>
      <c r="C10" s="40" t="s">
        <v>144</v>
      </c>
      <c r="D10" s="43"/>
      <c r="E10" s="43"/>
      <c r="F10" s="40" t="s">
        <v>140</v>
      </c>
      <c r="G10" s="44" t="s">
        <v>145</v>
      </c>
      <c r="H10" s="44"/>
      <c r="I10" s="44">
        <f>L6+L7+L8+L9</f>
        <v>10</v>
      </c>
      <c r="J10" s="44" t="s">
        <v>142</v>
      </c>
      <c r="K10" s="53"/>
      <c r="L10" s="44">
        <f t="shared" si="0"/>
        <v>0</v>
      </c>
      <c r="M10" s="44"/>
      <c r="N10" s="51"/>
    </row>
    <row r="11" ht="12" spans="1:14">
      <c r="A11" s="40">
        <v>6</v>
      </c>
      <c r="B11" s="40" t="s">
        <v>48</v>
      </c>
      <c r="C11" s="40"/>
      <c r="D11" s="40"/>
      <c r="E11" s="40"/>
      <c r="F11" s="40"/>
      <c r="G11" s="40"/>
      <c r="H11" s="40"/>
      <c r="I11" s="40"/>
      <c r="J11" s="40"/>
      <c r="K11" s="40"/>
      <c r="L11" s="54">
        <f>SUM(L6:L10)</f>
        <v>10</v>
      </c>
      <c r="M11" s="44"/>
      <c r="N11" s="51"/>
    </row>
  </sheetData>
  <mergeCells count="22">
    <mergeCell ref="A1:N1"/>
    <mergeCell ref="I2:J2"/>
    <mergeCell ref="C6:K6"/>
    <mergeCell ref="C7:K7"/>
    <mergeCell ref="C8:E8"/>
    <mergeCell ref="G8:H8"/>
    <mergeCell ref="C9:E9"/>
    <mergeCell ref="G9:H9"/>
    <mergeCell ref="C10:E10"/>
    <mergeCell ref="G10:H10"/>
    <mergeCell ref="B11:K11"/>
    <mergeCell ref="A2:A3"/>
    <mergeCell ref="A4:A6"/>
    <mergeCell ref="B2:B3"/>
    <mergeCell ref="B4:B6"/>
    <mergeCell ref="B7:B10"/>
    <mergeCell ref="C2:C3"/>
    <mergeCell ref="D2:D3"/>
    <mergeCell ref="E2:E3"/>
    <mergeCell ref="F2:F3"/>
    <mergeCell ref="M2:M3"/>
    <mergeCell ref="N2:N3"/>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zoomScaleSheetLayoutView="60" workbookViewId="0">
      <selection activeCell="G32" sqref="G32"/>
    </sheetView>
  </sheetViews>
  <sheetFormatPr defaultColWidth="10" defaultRowHeight="13.2"/>
  <cols>
    <col min="1" max="1" width="12.0625" style="25"/>
    <col min="2" max="2" width="5.30208333333333" style="25"/>
    <col min="3" max="3" width="46.9270833333333" style="25"/>
    <col min="4" max="4" width="44.6770833333333" style="25" hidden="1" customWidth="1"/>
    <col min="5" max="5" width="35.6770833333333" style="25"/>
    <col min="6" max="6" width="39.0416666666667" style="25"/>
    <col min="7" max="7" width="33.4270833333333" style="25"/>
    <col min="8" max="8" width="32.3020833333333" style="25"/>
    <col min="9" max="9" width="10" style="25"/>
    <col min="10" max="10" width="10.875" style="25"/>
    <col min="11" max="16384" width="10" style="25"/>
  </cols>
  <sheetData>
    <row r="1" ht="12" spans="1:8">
      <c r="A1" s="26" t="s">
        <v>146</v>
      </c>
      <c r="B1" s="27"/>
      <c r="C1" s="27"/>
      <c r="D1" s="27"/>
      <c r="E1" s="27"/>
      <c r="F1" s="27"/>
      <c r="G1" s="27"/>
      <c r="H1" s="27"/>
    </row>
    <row r="2" spans="1:8">
      <c r="A2" s="27" t="s">
        <v>147</v>
      </c>
      <c r="B2" s="27"/>
      <c r="C2" s="27" t="s">
        <v>148</v>
      </c>
      <c r="D2" s="27" t="s">
        <v>149</v>
      </c>
      <c r="E2" s="27" t="s">
        <v>150</v>
      </c>
      <c r="F2" s="27" t="s">
        <v>151</v>
      </c>
      <c r="G2" s="27" t="s">
        <v>152</v>
      </c>
      <c r="H2" s="27" t="s">
        <v>7</v>
      </c>
    </row>
    <row r="3" spans="1:8">
      <c r="A3" s="27"/>
      <c r="B3" s="27"/>
      <c r="C3" s="27"/>
      <c r="D3" s="27" t="s">
        <v>153</v>
      </c>
      <c r="E3" s="27" t="s">
        <v>153</v>
      </c>
      <c r="F3" s="27" t="s">
        <v>153</v>
      </c>
      <c r="G3" s="27" t="s">
        <v>153</v>
      </c>
      <c r="H3" s="27"/>
    </row>
    <row r="4" spans="1:8">
      <c r="A4" s="27" t="s">
        <v>154</v>
      </c>
      <c r="B4" s="27">
        <v>1</v>
      </c>
      <c r="C4" s="27" t="s">
        <v>155</v>
      </c>
      <c r="D4" s="27" t="s">
        <v>156</v>
      </c>
      <c r="E4" s="27" t="s">
        <v>157</v>
      </c>
      <c r="F4" s="26" t="s">
        <v>158</v>
      </c>
      <c r="G4" s="27" t="s">
        <v>159</v>
      </c>
      <c r="H4" s="27"/>
    </row>
    <row r="5" spans="1:8">
      <c r="A5" s="27"/>
      <c r="B5" s="27">
        <v>2</v>
      </c>
      <c r="C5" s="27" t="s">
        <v>160</v>
      </c>
      <c r="D5" s="27" t="s">
        <v>161</v>
      </c>
      <c r="E5" s="28" t="s">
        <v>162</v>
      </c>
      <c r="F5" s="28" t="s">
        <v>163</v>
      </c>
      <c r="G5" s="27" t="s">
        <v>164</v>
      </c>
      <c r="H5" s="27"/>
    </row>
    <row r="6" spans="1:8">
      <c r="A6" s="27"/>
      <c r="B6" s="27">
        <v>3</v>
      </c>
      <c r="C6" s="27" t="s">
        <v>165</v>
      </c>
      <c r="D6" s="27" t="s">
        <v>161</v>
      </c>
      <c r="E6" s="28" t="s">
        <v>162</v>
      </c>
      <c r="F6" s="28" t="s">
        <v>163</v>
      </c>
      <c r="G6" s="27" t="s">
        <v>164</v>
      </c>
      <c r="H6" s="27"/>
    </row>
    <row r="7" spans="1:8">
      <c r="A7" s="27"/>
      <c r="B7" s="27">
        <v>4</v>
      </c>
      <c r="C7" s="27" t="s">
        <v>166</v>
      </c>
      <c r="D7" s="27" t="s">
        <v>167</v>
      </c>
      <c r="E7" s="27" t="s">
        <v>168</v>
      </c>
      <c r="F7" s="27" t="s">
        <v>169</v>
      </c>
      <c r="G7" s="27"/>
      <c r="H7" s="27" t="s">
        <v>170</v>
      </c>
    </row>
    <row r="8" spans="1:8">
      <c r="A8" s="27"/>
      <c r="B8" s="27">
        <v>5</v>
      </c>
      <c r="C8" s="27" t="s">
        <v>171</v>
      </c>
      <c r="D8" s="27" t="s">
        <v>172</v>
      </c>
      <c r="E8" s="27" t="s">
        <v>168</v>
      </c>
      <c r="F8" s="27" t="s">
        <v>169</v>
      </c>
      <c r="G8" s="27"/>
      <c r="H8" s="27" t="s">
        <v>173</v>
      </c>
    </row>
    <row r="9" spans="1:8">
      <c r="A9" s="27"/>
      <c r="B9" s="27">
        <v>5</v>
      </c>
      <c r="C9" s="27" t="s">
        <v>174</v>
      </c>
      <c r="D9" s="27" t="s">
        <v>172</v>
      </c>
      <c r="E9" s="28" t="s">
        <v>162</v>
      </c>
      <c r="F9" s="28" t="s">
        <v>163</v>
      </c>
      <c r="G9" s="27" t="s">
        <v>164</v>
      </c>
      <c r="H9" s="27"/>
    </row>
    <row r="10" spans="1:8">
      <c r="A10" s="27"/>
      <c r="B10" s="27">
        <v>6</v>
      </c>
      <c r="C10" s="27" t="s">
        <v>175</v>
      </c>
      <c r="D10" s="27" t="s">
        <v>176</v>
      </c>
      <c r="E10" s="27" t="s">
        <v>168</v>
      </c>
      <c r="F10" s="27" t="s">
        <v>169</v>
      </c>
      <c r="G10" s="27"/>
      <c r="H10" s="27" t="s">
        <v>177</v>
      </c>
    </row>
    <row r="11" spans="1:8">
      <c r="A11" s="27"/>
      <c r="B11" s="27">
        <v>7</v>
      </c>
      <c r="C11" s="27" t="s">
        <v>178</v>
      </c>
      <c r="D11" s="27" t="s">
        <v>179</v>
      </c>
      <c r="E11" s="27" t="s">
        <v>180</v>
      </c>
      <c r="F11" s="27"/>
      <c r="G11" s="27"/>
      <c r="H11" s="27"/>
    </row>
    <row r="12" ht="25.5" customHeight="1" spans="1:10">
      <c r="A12" s="27"/>
      <c r="B12" s="27">
        <v>8</v>
      </c>
      <c r="C12" s="27" t="s">
        <v>181</v>
      </c>
      <c r="D12" s="28" t="s">
        <v>182</v>
      </c>
      <c r="E12" s="28" t="s">
        <v>162</v>
      </c>
      <c r="F12" s="28" t="s">
        <v>163</v>
      </c>
      <c r="G12" s="27"/>
      <c r="H12" s="27"/>
      <c r="J12" s="25">
        <f>4059.72+13110</f>
        <v>17169.72</v>
      </c>
    </row>
    <row r="13" spans="1:8">
      <c r="A13" s="27"/>
      <c r="B13" s="27">
        <v>9</v>
      </c>
      <c r="C13" s="27" t="s">
        <v>183</v>
      </c>
      <c r="D13" s="29" t="s">
        <v>184</v>
      </c>
      <c r="E13" s="28" t="s">
        <v>162</v>
      </c>
      <c r="F13" s="28" t="s">
        <v>163</v>
      </c>
      <c r="G13" s="28" t="s">
        <v>159</v>
      </c>
      <c r="H13" s="27"/>
    </row>
    <row r="14" spans="1:8">
      <c r="A14" s="27"/>
      <c r="B14" s="27">
        <v>10</v>
      </c>
      <c r="C14" s="27" t="s">
        <v>185</v>
      </c>
      <c r="D14" s="27" t="s">
        <v>186</v>
      </c>
      <c r="E14" s="28" t="s">
        <v>162</v>
      </c>
      <c r="F14" s="28" t="s">
        <v>163</v>
      </c>
      <c r="G14" s="28" t="s">
        <v>159</v>
      </c>
      <c r="H14" s="27"/>
    </row>
    <row r="15" spans="1:8">
      <c r="A15" s="27"/>
      <c r="B15" s="27">
        <v>11</v>
      </c>
      <c r="C15" s="27" t="s">
        <v>187</v>
      </c>
      <c r="D15" s="27" t="s">
        <v>188</v>
      </c>
      <c r="E15" s="27" t="s">
        <v>189</v>
      </c>
      <c r="F15" s="27" t="s">
        <v>190</v>
      </c>
      <c r="G15" s="27"/>
      <c r="H15" s="27"/>
    </row>
    <row r="16" spans="1:8">
      <c r="A16" s="27"/>
      <c r="B16" s="27">
        <v>12</v>
      </c>
      <c r="C16" s="27" t="s">
        <v>191</v>
      </c>
      <c r="D16" s="27" t="s">
        <v>192</v>
      </c>
      <c r="E16" s="27" t="s">
        <v>193</v>
      </c>
      <c r="F16" s="27" t="s">
        <v>194</v>
      </c>
      <c r="G16" s="27" t="s">
        <v>195</v>
      </c>
      <c r="H16" s="27"/>
    </row>
    <row r="17" spans="1:8">
      <c r="A17" s="27"/>
      <c r="B17" s="27">
        <v>13</v>
      </c>
      <c r="C17" s="27" t="s">
        <v>196</v>
      </c>
      <c r="D17" s="27" t="s">
        <v>161</v>
      </c>
      <c r="E17" s="28" t="s">
        <v>162</v>
      </c>
      <c r="F17" s="28" t="s">
        <v>163</v>
      </c>
      <c r="G17" s="26" t="s">
        <v>197</v>
      </c>
      <c r="H17" s="27"/>
    </row>
    <row r="18" spans="1:8">
      <c r="A18" s="27"/>
      <c r="B18" s="27">
        <v>14</v>
      </c>
      <c r="C18" s="27" t="s">
        <v>198</v>
      </c>
      <c r="D18" s="27" t="s">
        <v>199</v>
      </c>
      <c r="E18" s="27"/>
      <c r="F18" s="27"/>
      <c r="G18" s="27"/>
      <c r="H18" s="27"/>
    </row>
    <row r="19" spans="1:8">
      <c r="A19" s="27"/>
      <c r="B19" s="27">
        <v>15</v>
      </c>
      <c r="C19" s="27" t="s">
        <v>200</v>
      </c>
      <c r="D19" s="27" t="s">
        <v>201</v>
      </c>
      <c r="E19" s="27" t="s">
        <v>201</v>
      </c>
      <c r="F19" s="27" t="s">
        <v>201</v>
      </c>
      <c r="G19" s="27"/>
      <c r="H19" s="27"/>
    </row>
    <row r="20" spans="1:8">
      <c r="A20" s="27" t="s">
        <v>202</v>
      </c>
      <c r="B20" s="27">
        <v>1</v>
      </c>
      <c r="C20" s="27" t="s">
        <v>203</v>
      </c>
      <c r="D20" s="27" t="s">
        <v>204</v>
      </c>
      <c r="E20" s="27" t="s">
        <v>157</v>
      </c>
      <c r="F20" s="27" t="s">
        <v>205</v>
      </c>
      <c r="G20" s="27"/>
      <c r="H20" s="27"/>
    </row>
    <row r="21" spans="1:8">
      <c r="A21" s="27"/>
      <c r="B21" s="27">
        <v>2</v>
      </c>
      <c r="C21" s="27" t="s">
        <v>206</v>
      </c>
      <c r="D21" s="27" t="s">
        <v>207</v>
      </c>
      <c r="E21" s="28" t="s">
        <v>162</v>
      </c>
      <c r="F21" s="28" t="s">
        <v>163</v>
      </c>
      <c r="G21" s="27" t="s">
        <v>164</v>
      </c>
      <c r="H21" s="27"/>
    </row>
    <row r="22" spans="1:8">
      <c r="A22" s="27"/>
      <c r="B22" s="27">
        <v>3</v>
      </c>
      <c r="C22" s="27" t="s">
        <v>208</v>
      </c>
      <c r="D22" s="27" t="s">
        <v>209</v>
      </c>
      <c r="E22" s="27" t="s">
        <v>209</v>
      </c>
      <c r="F22" s="27" t="s">
        <v>209</v>
      </c>
      <c r="G22" s="27" t="s">
        <v>209</v>
      </c>
      <c r="H22" s="27"/>
    </row>
    <row r="23" spans="1:8">
      <c r="A23" s="27"/>
      <c r="B23" s="27">
        <v>4</v>
      </c>
      <c r="C23" s="27" t="s">
        <v>210</v>
      </c>
      <c r="D23" s="27" t="s">
        <v>207</v>
      </c>
      <c r="E23" s="28" t="s">
        <v>162</v>
      </c>
      <c r="F23" s="28" t="s">
        <v>163</v>
      </c>
      <c r="G23" s="27" t="s">
        <v>164</v>
      </c>
      <c r="H23" s="27"/>
    </row>
    <row r="24" spans="1:8">
      <c r="A24" s="27"/>
      <c r="B24" s="27">
        <v>5</v>
      </c>
      <c r="C24" s="27" t="s">
        <v>211</v>
      </c>
      <c r="D24" s="27" t="s">
        <v>212</v>
      </c>
      <c r="E24" s="27" t="s">
        <v>193</v>
      </c>
      <c r="F24" s="27" t="s">
        <v>194</v>
      </c>
      <c r="G24" s="27" t="s">
        <v>195</v>
      </c>
      <c r="H24" s="27"/>
    </row>
    <row r="25" spans="1:8">
      <c r="A25" s="27"/>
      <c r="B25" s="27">
        <v>6</v>
      </c>
      <c r="C25" s="27" t="s">
        <v>213</v>
      </c>
      <c r="D25" s="27" t="s">
        <v>214</v>
      </c>
      <c r="E25" s="28" t="s">
        <v>215</v>
      </c>
      <c r="F25" s="28" t="s">
        <v>216</v>
      </c>
      <c r="G25" s="27" t="s">
        <v>164</v>
      </c>
      <c r="H25" s="27"/>
    </row>
    <row r="26" spans="1:8">
      <c r="A26" s="27"/>
      <c r="B26" s="27">
        <v>7</v>
      </c>
      <c r="C26" s="27" t="s">
        <v>217</v>
      </c>
      <c r="D26" s="27" t="s">
        <v>218</v>
      </c>
      <c r="E26" s="26" t="s">
        <v>219</v>
      </c>
      <c r="F26" s="28" t="s">
        <v>190</v>
      </c>
      <c r="G26" s="27"/>
      <c r="H26" s="27"/>
    </row>
    <row r="27" spans="1:8">
      <c r="A27" s="27"/>
      <c r="B27" s="27">
        <v>8</v>
      </c>
      <c r="C27" s="27" t="s">
        <v>220</v>
      </c>
      <c r="D27" s="27" t="s">
        <v>221</v>
      </c>
      <c r="E27" s="28" t="s">
        <v>162</v>
      </c>
      <c r="F27" s="28" t="s">
        <v>163</v>
      </c>
      <c r="G27" s="27" t="s">
        <v>164</v>
      </c>
      <c r="H27" s="27"/>
    </row>
    <row r="28" spans="1:8">
      <c r="A28" s="27"/>
      <c r="B28" s="27">
        <v>9</v>
      </c>
      <c r="C28" s="27" t="s">
        <v>222</v>
      </c>
      <c r="D28" s="27" t="s">
        <v>223</v>
      </c>
      <c r="E28" s="28" t="s">
        <v>162</v>
      </c>
      <c r="F28" s="29" t="s">
        <v>224</v>
      </c>
      <c r="G28" s="27"/>
      <c r="H28" s="27"/>
    </row>
    <row r="29" spans="1:8">
      <c r="A29" s="27"/>
      <c r="B29" s="27">
        <v>10</v>
      </c>
      <c r="C29" s="27" t="s">
        <v>210</v>
      </c>
      <c r="D29" s="27" t="s">
        <v>207</v>
      </c>
      <c r="E29" s="28" t="s">
        <v>162</v>
      </c>
      <c r="F29" s="28" t="s">
        <v>163</v>
      </c>
      <c r="G29" s="27" t="s">
        <v>164</v>
      </c>
      <c r="H29" s="27"/>
    </row>
    <row r="30" spans="1:8">
      <c r="A30" s="27"/>
      <c r="B30" s="27">
        <v>11</v>
      </c>
      <c r="C30" s="27" t="s">
        <v>178</v>
      </c>
      <c r="D30" s="27" t="s">
        <v>225</v>
      </c>
      <c r="E30" s="27" t="s">
        <v>180</v>
      </c>
      <c r="F30" s="27"/>
      <c r="G30" s="27"/>
      <c r="H30" s="27"/>
    </row>
    <row r="31" spans="1:8">
      <c r="A31" s="27"/>
      <c r="B31" s="27">
        <v>12</v>
      </c>
      <c r="C31" s="27" t="s">
        <v>226</v>
      </c>
      <c r="D31" s="27" t="s">
        <v>227</v>
      </c>
      <c r="E31" s="27"/>
      <c r="F31" s="27"/>
      <c r="G31" s="27"/>
      <c r="H31" s="27"/>
    </row>
    <row r="32" spans="1:8">
      <c r="A32" s="27"/>
      <c r="B32" s="27">
        <v>13</v>
      </c>
      <c r="C32" s="27" t="s">
        <v>228</v>
      </c>
      <c r="D32" s="27" t="s">
        <v>221</v>
      </c>
      <c r="E32" s="28" t="s">
        <v>215</v>
      </c>
      <c r="F32" s="28" t="s">
        <v>229</v>
      </c>
      <c r="G32" s="28" t="s">
        <v>229</v>
      </c>
      <c r="H32" s="27"/>
    </row>
    <row r="33" spans="1:8">
      <c r="A33" s="27"/>
      <c r="B33" s="27">
        <v>14</v>
      </c>
      <c r="C33" s="27" t="s">
        <v>230</v>
      </c>
      <c r="D33" s="27" t="s">
        <v>231</v>
      </c>
      <c r="E33" s="27"/>
      <c r="F33" s="27"/>
      <c r="G33" s="27" t="s">
        <v>209</v>
      </c>
      <c r="H33" s="27"/>
    </row>
    <row r="34" spans="1:8">
      <c r="A34" s="27" t="s">
        <v>232</v>
      </c>
      <c r="B34" s="27">
        <v>1</v>
      </c>
      <c r="C34" s="27" t="s">
        <v>233</v>
      </c>
      <c r="D34" s="27" t="s">
        <v>234</v>
      </c>
      <c r="E34" s="27" t="s">
        <v>157</v>
      </c>
      <c r="F34" s="27" t="s">
        <v>205</v>
      </c>
      <c r="G34" s="27"/>
      <c r="H34" s="27"/>
    </row>
    <row r="35" spans="1:8">
      <c r="A35" s="27"/>
      <c r="B35" s="27">
        <v>2</v>
      </c>
      <c r="C35" s="27" t="s">
        <v>206</v>
      </c>
      <c r="D35" s="27" t="s">
        <v>207</v>
      </c>
      <c r="E35" s="28" t="s">
        <v>162</v>
      </c>
      <c r="F35" s="28" t="s">
        <v>163</v>
      </c>
      <c r="G35" s="27" t="s">
        <v>164</v>
      </c>
      <c r="H35" s="27"/>
    </row>
    <row r="36" spans="1:8">
      <c r="A36" s="27"/>
      <c r="B36" s="27">
        <v>3</v>
      </c>
      <c r="C36" s="27" t="s">
        <v>208</v>
      </c>
      <c r="D36" s="27" t="s">
        <v>209</v>
      </c>
      <c r="E36" s="28" t="s">
        <v>209</v>
      </c>
      <c r="F36" s="28" t="s">
        <v>209</v>
      </c>
      <c r="G36" s="28" t="s">
        <v>209</v>
      </c>
      <c r="H36" s="27"/>
    </row>
    <row r="37" spans="1:8">
      <c r="A37" s="27"/>
      <c r="B37" s="27">
        <v>4</v>
      </c>
      <c r="C37" s="27" t="s">
        <v>211</v>
      </c>
      <c r="D37" s="27" t="s">
        <v>212</v>
      </c>
      <c r="E37" s="27" t="s">
        <v>193</v>
      </c>
      <c r="F37" s="27" t="s">
        <v>194</v>
      </c>
      <c r="G37" s="27" t="s">
        <v>195</v>
      </c>
      <c r="H37" s="27"/>
    </row>
    <row r="38" spans="1:8">
      <c r="A38" s="27"/>
      <c r="B38" s="27">
        <v>5</v>
      </c>
      <c r="C38" s="27" t="s">
        <v>210</v>
      </c>
      <c r="D38" s="27" t="s">
        <v>207</v>
      </c>
      <c r="E38" s="28" t="s">
        <v>162</v>
      </c>
      <c r="F38" s="28" t="s">
        <v>163</v>
      </c>
      <c r="G38" s="27" t="s">
        <v>164</v>
      </c>
      <c r="H38" s="27"/>
    </row>
    <row r="39" spans="1:8">
      <c r="A39" s="27"/>
      <c r="B39" s="27">
        <v>6</v>
      </c>
      <c r="C39" s="27" t="s">
        <v>235</v>
      </c>
      <c r="D39" s="27" t="s">
        <v>236</v>
      </c>
      <c r="E39" s="27" t="s">
        <v>168</v>
      </c>
      <c r="F39" s="27" t="s">
        <v>169</v>
      </c>
      <c r="G39" s="27"/>
      <c r="H39" s="26" t="s">
        <v>237</v>
      </c>
    </row>
    <row r="40" spans="1:8">
      <c r="A40" s="27"/>
      <c r="B40" s="27">
        <v>7</v>
      </c>
      <c r="C40" s="27" t="s">
        <v>178</v>
      </c>
      <c r="D40" s="27" t="s">
        <v>225</v>
      </c>
      <c r="E40" s="27" t="s">
        <v>180</v>
      </c>
      <c r="F40" s="27"/>
      <c r="G40" s="27"/>
      <c r="H40" s="27"/>
    </row>
    <row r="41" spans="1:8">
      <c r="A41" s="27"/>
      <c r="B41" s="27">
        <v>8</v>
      </c>
      <c r="C41" s="27" t="s">
        <v>238</v>
      </c>
      <c r="D41" s="27" t="s">
        <v>239</v>
      </c>
      <c r="E41" s="27"/>
      <c r="F41" s="27"/>
      <c r="G41" s="27"/>
      <c r="H41" s="27"/>
    </row>
    <row r="42" spans="1:8">
      <c r="A42" s="27"/>
      <c r="B42" s="27">
        <v>9</v>
      </c>
      <c r="C42" s="27" t="s">
        <v>230</v>
      </c>
      <c r="D42" s="27" t="s">
        <v>231</v>
      </c>
      <c r="E42" s="27"/>
      <c r="F42" s="27"/>
      <c r="G42" s="28" t="s">
        <v>209</v>
      </c>
      <c r="H42" s="27"/>
    </row>
    <row r="43" spans="1:8">
      <c r="A43" s="27" t="s">
        <v>240</v>
      </c>
      <c r="B43" s="27">
        <v>1</v>
      </c>
      <c r="C43" s="27" t="s">
        <v>241</v>
      </c>
      <c r="D43" s="27" t="s">
        <v>242</v>
      </c>
      <c r="E43" s="27"/>
      <c r="F43" s="27"/>
      <c r="G43" s="27"/>
      <c r="H43" s="27"/>
    </row>
    <row r="44" spans="1:8">
      <c r="A44" s="27"/>
      <c r="B44" s="27">
        <v>2</v>
      </c>
      <c r="C44" s="27" t="s">
        <v>235</v>
      </c>
      <c r="D44" s="27" t="s">
        <v>236</v>
      </c>
      <c r="E44" s="27" t="s">
        <v>168</v>
      </c>
      <c r="F44" s="27" t="s">
        <v>169</v>
      </c>
      <c r="G44" s="27"/>
      <c r="H44" s="27" t="s">
        <v>170</v>
      </c>
    </row>
    <row r="45" spans="1:8">
      <c r="A45" s="27"/>
      <c r="B45" s="27">
        <v>3</v>
      </c>
      <c r="C45" s="27" t="s">
        <v>243</v>
      </c>
      <c r="D45" s="27" t="s">
        <v>244</v>
      </c>
      <c r="E45" s="27" t="s">
        <v>168</v>
      </c>
      <c r="F45" s="27" t="s">
        <v>169</v>
      </c>
      <c r="G45" s="27"/>
      <c r="H45" s="27" t="s">
        <v>170</v>
      </c>
    </row>
    <row r="46" spans="1:8">
      <c r="A46" s="27"/>
      <c r="B46" s="27">
        <v>4</v>
      </c>
      <c r="C46" s="27" t="s">
        <v>178</v>
      </c>
      <c r="D46" s="27" t="s">
        <v>225</v>
      </c>
      <c r="E46" s="27" t="s">
        <v>180</v>
      </c>
      <c r="F46" s="27"/>
      <c r="G46" s="27"/>
      <c r="H46" s="27"/>
    </row>
    <row r="47" spans="1:8">
      <c r="A47" s="27"/>
      <c r="B47" s="27"/>
      <c r="C47" s="27"/>
      <c r="D47" s="27"/>
      <c r="E47" s="27"/>
      <c r="F47" s="27"/>
      <c r="G47" s="27"/>
      <c r="H47" s="27"/>
    </row>
    <row r="48" spans="1:8">
      <c r="A48" s="27" t="s">
        <v>245</v>
      </c>
      <c r="B48" s="27">
        <v>1</v>
      </c>
      <c r="C48" s="27" t="s">
        <v>246</v>
      </c>
      <c r="D48" s="27" t="s">
        <v>247</v>
      </c>
      <c r="E48" s="27"/>
      <c r="F48" s="27"/>
      <c r="G48" s="27"/>
      <c r="H48" s="27"/>
    </row>
    <row r="49" spans="1:8">
      <c r="A49" s="27"/>
      <c r="B49" s="27">
        <v>2</v>
      </c>
      <c r="C49" s="27" t="s">
        <v>248</v>
      </c>
      <c r="D49" s="27" t="s">
        <v>249</v>
      </c>
      <c r="E49" s="27"/>
      <c r="F49" s="27"/>
      <c r="G49" s="27"/>
      <c r="H49" s="27"/>
    </row>
    <row r="50" spans="1:8">
      <c r="A50" s="27" t="s">
        <v>250</v>
      </c>
      <c r="B50" s="27">
        <v>1</v>
      </c>
      <c r="C50" s="27" t="s">
        <v>251</v>
      </c>
      <c r="D50" s="27" t="s">
        <v>225</v>
      </c>
      <c r="E50" s="27"/>
      <c r="F50" s="27"/>
      <c r="G50" s="27"/>
      <c r="H50" s="27"/>
    </row>
    <row r="51" spans="1:8">
      <c r="A51" s="27"/>
      <c r="B51" s="27">
        <v>2</v>
      </c>
      <c r="C51" s="27" t="s">
        <v>252</v>
      </c>
      <c r="D51" s="27" t="s">
        <v>253</v>
      </c>
      <c r="E51" s="27"/>
      <c r="F51" s="27"/>
      <c r="G51" s="27"/>
      <c r="H51" s="27"/>
    </row>
  </sheetData>
  <autoFilter ref="A3:H51">
    <extLst/>
  </autoFilter>
  <mergeCells count="11">
    <mergeCell ref="A1:H1"/>
    <mergeCell ref="A2:A3"/>
    <mergeCell ref="A4:A19"/>
    <mergeCell ref="A20:A33"/>
    <mergeCell ref="A34:A42"/>
    <mergeCell ref="A43:A47"/>
    <mergeCell ref="A48:A49"/>
    <mergeCell ref="A50:A51"/>
    <mergeCell ref="B2:B3"/>
    <mergeCell ref="C2:C3"/>
    <mergeCell ref="H2:H3"/>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11"/>
  <sheetViews>
    <sheetView workbookViewId="0">
      <selection activeCell="G32" sqref="G32"/>
    </sheetView>
  </sheetViews>
  <sheetFormatPr defaultColWidth="9" defaultRowHeight="11.4"/>
  <cols>
    <col min="1" max="1" width="7.66666666666667" customWidth="1"/>
    <col min="2" max="2" width="41.125" customWidth="1"/>
    <col min="3" max="3" width="9.83333333333333" customWidth="1"/>
    <col min="4" max="6" width="17.3020833333333" style="2" customWidth="1"/>
    <col min="7" max="7" width="14.3020833333333" customWidth="1"/>
    <col min="10" max="15" width="12.1979166666667" customWidth="1"/>
  </cols>
  <sheetData>
    <row r="1" ht="31" customHeight="1" spans="1:7">
      <c r="A1" s="3" t="s">
        <v>76</v>
      </c>
      <c r="B1" s="3"/>
      <c r="C1" s="3"/>
      <c r="D1" s="4"/>
      <c r="E1" s="4"/>
      <c r="F1" s="4"/>
      <c r="G1" s="3"/>
    </row>
    <row r="2" ht="28" customHeight="1" spans="1:7">
      <c r="A2" s="5" t="s">
        <v>1</v>
      </c>
      <c r="B2" s="5" t="s">
        <v>254</v>
      </c>
      <c r="C2" s="5" t="s">
        <v>46</v>
      </c>
      <c r="D2" s="6" t="s">
        <v>47</v>
      </c>
      <c r="E2" s="7"/>
      <c r="F2" s="8"/>
      <c r="G2" s="9" t="s">
        <v>7</v>
      </c>
    </row>
    <row r="3" ht="28" customHeight="1" spans="1:15">
      <c r="A3" s="5"/>
      <c r="B3" s="5"/>
      <c r="C3" s="5"/>
      <c r="D3" s="10" t="s">
        <v>255</v>
      </c>
      <c r="E3" s="11" t="s">
        <v>256</v>
      </c>
      <c r="F3" s="10" t="s">
        <v>257</v>
      </c>
      <c r="G3" s="12"/>
      <c r="J3" t="s">
        <v>258</v>
      </c>
      <c r="K3" t="s">
        <v>87</v>
      </c>
      <c r="L3" t="s">
        <v>259</v>
      </c>
      <c r="M3" t="s">
        <v>87</v>
      </c>
      <c r="N3" t="s">
        <v>260</v>
      </c>
      <c r="O3" t="s">
        <v>87</v>
      </c>
    </row>
    <row r="4" ht="44" customHeight="1" spans="1:15">
      <c r="A4" s="5">
        <v>1</v>
      </c>
      <c r="B4" s="13" t="s">
        <v>93</v>
      </c>
      <c r="C4" s="14">
        <v>15758.07</v>
      </c>
      <c r="D4" s="15">
        <f>AVERAGE(J4,L4,N4)</f>
        <v>12.59</v>
      </c>
      <c r="E4" s="16">
        <v>0.13</v>
      </c>
      <c r="F4" s="15">
        <f t="shared" ref="F4:F11" si="0">C4*D4*(1+E4)</f>
        <v>224185.33</v>
      </c>
      <c r="G4" s="17"/>
      <c r="J4" s="19">
        <f>15.2/1.13</f>
        <v>13.45</v>
      </c>
      <c r="K4" s="20"/>
      <c r="L4" s="19">
        <f>15.86/1.13</f>
        <v>14.04</v>
      </c>
      <c r="M4" s="20"/>
      <c r="N4" s="19">
        <v>10.29</v>
      </c>
      <c r="O4" s="20"/>
    </row>
    <row r="5" ht="44" customHeight="1" spans="1:14">
      <c r="A5" s="5">
        <v>2</v>
      </c>
      <c r="B5" s="13" t="s">
        <v>96</v>
      </c>
      <c r="C5" s="14">
        <v>91.83</v>
      </c>
      <c r="D5" s="15">
        <f t="shared" ref="D5:D11" si="1">AVERAGE(J5,L5,N5)</f>
        <v>15.79</v>
      </c>
      <c r="E5" s="16">
        <v>0.13</v>
      </c>
      <c r="F5" s="15">
        <f t="shared" si="0"/>
        <v>1638.5</v>
      </c>
      <c r="G5" s="17"/>
      <c r="J5">
        <v>11</v>
      </c>
      <c r="L5">
        <f>23*1.05</f>
        <v>24.15</v>
      </c>
      <c r="N5" s="21">
        <f>11.64*1.05</f>
        <v>12.22</v>
      </c>
    </row>
    <row r="6" customFormat="1" ht="44" customHeight="1" spans="1:14">
      <c r="A6" s="5">
        <v>3</v>
      </c>
      <c r="B6" s="13" t="s">
        <v>99</v>
      </c>
      <c r="C6" s="14">
        <v>104.08</v>
      </c>
      <c r="D6" s="15">
        <f t="shared" si="1"/>
        <v>21.44</v>
      </c>
      <c r="E6" s="16">
        <v>0.13</v>
      </c>
      <c r="F6" s="15">
        <f t="shared" si="0"/>
        <v>2521.57</v>
      </c>
      <c r="G6" s="17"/>
      <c r="J6" s="21">
        <f>10/1.01*1.05</f>
        <v>10.4</v>
      </c>
      <c r="L6">
        <f>35*1.05</f>
        <v>36.75</v>
      </c>
      <c r="N6" s="21">
        <f>16.36*1.05</f>
        <v>17.18</v>
      </c>
    </row>
    <row r="7" s="1" customFormat="1" ht="44" customHeight="1" spans="1:14">
      <c r="A7" s="5">
        <v>4</v>
      </c>
      <c r="B7" s="13" t="s">
        <v>101</v>
      </c>
      <c r="C7" s="14">
        <v>9834.89</v>
      </c>
      <c r="D7" s="15">
        <f t="shared" si="1"/>
        <v>12.95</v>
      </c>
      <c r="E7" s="16">
        <v>0.13</v>
      </c>
      <c r="F7" s="15">
        <f t="shared" si="0"/>
        <v>143918.86</v>
      </c>
      <c r="G7" s="17"/>
      <c r="J7" s="21">
        <f t="shared" ref="J7:J10" si="2">12.8/1.13</f>
        <v>11.33</v>
      </c>
      <c r="K7"/>
      <c r="L7" s="21">
        <f t="shared" ref="L7:L10" si="3">13.1/1.13</f>
        <v>11.59</v>
      </c>
      <c r="M7"/>
      <c r="N7" s="21">
        <f t="shared" ref="N7:N10" si="4">18/1.13</f>
        <v>15.93</v>
      </c>
    </row>
    <row r="8" ht="44" customHeight="1" spans="1:14">
      <c r="A8" s="5">
        <v>5</v>
      </c>
      <c r="B8" s="13" t="s">
        <v>104</v>
      </c>
      <c r="C8" s="14">
        <v>253.56</v>
      </c>
      <c r="D8" s="15">
        <f t="shared" si="1"/>
        <v>12.95</v>
      </c>
      <c r="E8" s="16">
        <v>0.13</v>
      </c>
      <c r="F8" s="15">
        <f t="shared" si="0"/>
        <v>3710.47</v>
      </c>
      <c r="G8" s="17"/>
      <c r="J8" s="21">
        <f t="shared" si="2"/>
        <v>11.33</v>
      </c>
      <c r="L8" s="21">
        <f t="shared" si="3"/>
        <v>11.59</v>
      </c>
      <c r="N8" s="21">
        <f t="shared" si="4"/>
        <v>15.93</v>
      </c>
    </row>
    <row r="9" s="1" customFormat="1" ht="44" customHeight="1" spans="1:15">
      <c r="A9" s="5">
        <v>6</v>
      </c>
      <c r="B9" s="13" t="s">
        <v>105</v>
      </c>
      <c r="C9" s="14">
        <v>564.95</v>
      </c>
      <c r="D9" s="15">
        <f t="shared" si="1"/>
        <v>18.43</v>
      </c>
      <c r="E9" s="16">
        <v>0.13</v>
      </c>
      <c r="F9" s="15">
        <f t="shared" si="0"/>
        <v>11765.59</v>
      </c>
      <c r="G9" s="17"/>
      <c r="J9" s="22">
        <f>21/1.13</f>
        <v>18.58</v>
      </c>
      <c r="K9" s="23"/>
      <c r="L9" s="23">
        <f>18*1.05</f>
        <v>18.9</v>
      </c>
      <c r="M9" s="23"/>
      <c r="N9" s="22">
        <f>18/1.01</f>
        <v>17.82</v>
      </c>
      <c r="O9" s="24"/>
    </row>
    <row r="10" s="1" customFormat="1" ht="44" customHeight="1" spans="1:14">
      <c r="A10" s="5">
        <v>7</v>
      </c>
      <c r="B10" s="13" t="s">
        <v>261</v>
      </c>
      <c r="C10" s="14">
        <f>98.3259+218.622</f>
        <v>316.95</v>
      </c>
      <c r="D10" s="15">
        <f t="shared" si="1"/>
        <v>12.95</v>
      </c>
      <c r="E10" s="16">
        <v>0.13</v>
      </c>
      <c r="F10" s="15">
        <f t="shared" si="0"/>
        <v>4638.09</v>
      </c>
      <c r="G10" s="17"/>
      <c r="J10" s="21">
        <f t="shared" si="2"/>
        <v>11.33</v>
      </c>
      <c r="K10"/>
      <c r="L10" s="21">
        <f t="shared" si="3"/>
        <v>11.59</v>
      </c>
      <c r="M10"/>
      <c r="N10" s="21">
        <f t="shared" si="4"/>
        <v>15.93</v>
      </c>
    </row>
    <row r="11" ht="18" customHeight="1" spans="1:7">
      <c r="A11" s="5" t="s">
        <v>39</v>
      </c>
      <c r="B11" s="5"/>
      <c r="C11" s="5"/>
      <c r="D11" s="10"/>
      <c r="E11" s="10"/>
      <c r="F11" s="10">
        <f>SUM(F4:F10)</f>
        <v>392378.41</v>
      </c>
      <c r="G11" s="18"/>
    </row>
  </sheetData>
  <mergeCells count="7">
    <mergeCell ref="A1:G1"/>
    <mergeCell ref="D2:F2"/>
    <mergeCell ref="A11:D11"/>
    <mergeCell ref="A2:A3"/>
    <mergeCell ref="B2:B3"/>
    <mergeCell ref="C2:C3"/>
    <mergeCell ref="G2:G3"/>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汇总表</vt:lpstr>
      <vt:lpstr>编制说明</vt:lpstr>
      <vt:lpstr>报价汇总表 (新)</vt:lpstr>
      <vt:lpstr>理论控制量</vt:lpstr>
      <vt:lpstr>报价汇总表</vt:lpstr>
      <vt:lpstr>单价分析表</vt:lpstr>
      <vt:lpstr>建筑装修做法表</vt:lpstr>
      <vt:lpstr>油漆报价汇总表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何浩</cp:lastModifiedBy>
  <dcterms:created xsi:type="dcterms:W3CDTF">2023-04-29T22:35:00Z</dcterms:created>
  <dcterms:modified xsi:type="dcterms:W3CDTF">2024-01-16T05:25:45Z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95D9EEAFC50E49A0BBB47CBD549942CD_13</vt:lpwstr>
  </property>
  <property fmtid="{D5CDD505-2E9C-101B-9397-08002B2CF9AE}" pid="3" name="KSOProductBuildVer">
    <vt:lpwstr>2052-12.1.0.16120</vt:lpwstr>
  </property>
  <property fmtid="{D5CDD505-2E9C-101B-9397-08002B2CF9AE}" pid="4" name="KSOReadingLayout">
    <vt:bool>true</vt:bool>
  </property>
</Properties>
</file>